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rett.Urech\Desktop\"/>
    </mc:Choice>
  </mc:AlternateContent>
  <bookViews>
    <workbookView xWindow="0" yWindow="0" windowWidth="28800" windowHeight="11235" firstSheet="2" activeTab="5"/>
  </bookViews>
  <sheets>
    <sheet name="2012 old" sheetId="1" state="hidden" r:id="rId1"/>
    <sheet name="2013 old" sheetId="2" state="hidden" r:id="rId2"/>
    <sheet name="2012" sheetId="27" r:id="rId3"/>
    <sheet name="2013" sheetId="25" r:id="rId4"/>
    <sheet name="2014" sheetId="18" r:id="rId5"/>
    <sheet name="Summary" sheetId="8" r:id="rId6"/>
    <sheet name="Persistance" sheetId="4" r:id="rId7"/>
    <sheet name="Rates" sheetId="14" r:id="rId8"/>
    <sheet name="Retrofit Split" sheetId="5" r:id="rId9"/>
  </sheets>
  <definedNames>
    <definedName name="_xlnm._FilterDatabase" localSheetId="6" hidden="1">Persistance!$A$1:$O$100</definedName>
    <definedName name="PD_Class">'Retrofit Split'!$AD:$AD</definedName>
    <definedName name="PD_Initiative">'Retrofit Split'!$B:$B</definedName>
    <definedName name="PD_kW">'Retrofit Split'!$AA:$AA</definedName>
    <definedName name="PD_kWh">'Retrofit Split'!$AB:$AB</definedName>
    <definedName name="PD_LDC">'Retrofit Split'!$C:$C</definedName>
    <definedName name="PD_Year">'Retrofit Split'!$A:$A</definedName>
    <definedName name="RD_Class" localSheetId="2">#REF!</definedName>
    <definedName name="RD_Class" localSheetId="3">#REF!</definedName>
    <definedName name="RD_Class">#REF!</definedName>
    <definedName name="RD_DBYr" localSheetId="2">#REF!</definedName>
    <definedName name="RD_DBYr" localSheetId="3">#REF!</definedName>
    <definedName name="RD_DBYr">#REF!</definedName>
    <definedName name="RD_LDC" localSheetId="2">#REF!</definedName>
    <definedName name="RD_LDC" localSheetId="3">#REF!</definedName>
    <definedName name="RD_LDC">#REF!</definedName>
    <definedName name="RD_Rate" localSheetId="2">#REF!</definedName>
    <definedName name="RD_Rate" localSheetId="3">#REF!</definedName>
    <definedName name="RD_Rate">#REF!</definedName>
    <definedName name="S_LDC" localSheetId="2">#REF!</definedName>
    <definedName name="S_LDC" localSheetId="3">#REF!</definedName>
    <definedName name="S_LDC">#REF!</definedName>
  </definedNames>
  <calcPr calcId="152511"/>
</workbook>
</file>

<file path=xl/calcChain.xml><?xml version="1.0" encoding="utf-8"?>
<calcChain xmlns="http://schemas.openxmlformats.org/spreadsheetml/2006/main">
  <c r="C5" i="27" l="1"/>
  <c r="A2" i="27"/>
  <c r="S62" i="27" s="1"/>
  <c r="M63" i="25"/>
  <c r="M50" i="25"/>
  <c r="M30" i="25"/>
  <c r="D5" i="25"/>
  <c r="E5" i="25" s="1"/>
  <c r="C5" i="25"/>
  <c r="A2" i="25"/>
  <c r="B55" i="25" s="1"/>
  <c r="B19" i="27" l="1"/>
  <c r="C24" i="27"/>
  <c r="B27" i="27"/>
  <c r="C6" i="27"/>
  <c r="C36" i="27"/>
  <c r="C8" i="27"/>
  <c r="B39" i="27"/>
  <c r="B11" i="27"/>
  <c r="C16" i="27"/>
  <c r="T62" i="27"/>
  <c r="S63" i="27"/>
  <c r="T63" i="27" s="1"/>
  <c r="U62" i="27"/>
  <c r="C11" i="27"/>
  <c r="B14" i="27"/>
  <c r="C19" i="27"/>
  <c r="B22" i="27"/>
  <c r="C27" i="27"/>
  <c r="B34" i="27"/>
  <c r="D36" i="27"/>
  <c r="C39" i="27"/>
  <c r="B42" i="27"/>
  <c r="C47" i="27"/>
  <c r="C57" i="27"/>
  <c r="B60" i="27"/>
  <c r="B9" i="27"/>
  <c r="D11" i="27"/>
  <c r="C14" i="27"/>
  <c r="B17" i="27"/>
  <c r="C22" i="27"/>
  <c r="B25" i="27"/>
  <c r="C34" i="27"/>
  <c r="B37" i="27"/>
  <c r="D39" i="27"/>
  <c r="C42" i="27"/>
  <c r="B45" i="27"/>
  <c r="D47" i="27"/>
  <c r="B55" i="27"/>
  <c r="D57" i="27"/>
  <c r="C60" i="27"/>
  <c r="B57" i="27"/>
  <c r="L4" i="27"/>
  <c r="C9" i="27"/>
  <c r="B12" i="27"/>
  <c r="C17" i="27"/>
  <c r="B20" i="27"/>
  <c r="D22" i="27"/>
  <c r="C25" i="27"/>
  <c r="B28" i="27"/>
  <c r="B32" i="27"/>
  <c r="C37" i="27"/>
  <c r="B40" i="27"/>
  <c r="C45" i="27"/>
  <c r="B48" i="27"/>
  <c r="B52" i="27"/>
  <c r="C55" i="27"/>
  <c r="B58" i="27"/>
  <c r="C12" i="27"/>
  <c r="B15" i="27"/>
  <c r="D17" i="27"/>
  <c r="C20" i="27"/>
  <c r="B23" i="27"/>
  <c r="C28" i="27"/>
  <c r="C32" i="27"/>
  <c r="B35" i="27"/>
  <c r="C40" i="27"/>
  <c r="B43" i="27"/>
  <c r="D45" i="27"/>
  <c r="C48" i="27"/>
  <c r="C52" i="27"/>
  <c r="D55" i="27"/>
  <c r="C58" i="27"/>
  <c r="B61" i="27"/>
  <c r="D5" i="27"/>
  <c r="D16" i="27" s="1"/>
  <c r="B6" i="27"/>
  <c r="B10" i="27"/>
  <c r="D12" i="27"/>
  <c r="C15" i="27"/>
  <c r="B18" i="27"/>
  <c r="D20" i="27"/>
  <c r="C23" i="27"/>
  <c r="B26" i="27"/>
  <c r="D28" i="27"/>
  <c r="C35" i="27"/>
  <c r="B38" i="27"/>
  <c r="D40" i="27"/>
  <c r="C43" i="27"/>
  <c r="B46" i="27"/>
  <c r="D48" i="27"/>
  <c r="D52" i="27"/>
  <c r="B53" i="27"/>
  <c r="B56" i="27"/>
  <c r="D58" i="27"/>
  <c r="C61" i="27"/>
  <c r="B47" i="27"/>
  <c r="C10" i="27"/>
  <c r="B13" i="27"/>
  <c r="D15" i="27"/>
  <c r="C18" i="27"/>
  <c r="B21" i="27"/>
  <c r="D23" i="27"/>
  <c r="C26" i="27"/>
  <c r="S29" i="27"/>
  <c r="B33" i="27"/>
  <c r="D35" i="27"/>
  <c r="C38" i="27"/>
  <c r="B41" i="27"/>
  <c r="D43" i="27"/>
  <c r="C46" i="27"/>
  <c r="S49" i="27"/>
  <c r="C53" i="27"/>
  <c r="C56" i="27"/>
  <c r="B59" i="27"/>
  <c r="D61" i="27"/>
  <c r="C44" i="27"/>
  <c r="C54" i="27"/>
  <c r="B8" i="27"/>
  <c r="D10" i="27"/>
  <c r="C13" i="27"/>
  <c r="B16" i="27"/>
  <c r="D18" i="27"/>
  <c r="C21" i="27"/>
  <c r="B24" i="27"/>
  <c r="D26" i="27"/>
  <c r="C33" i="27"/>
  <c r="B36" i="27"/>
  <c r="D38" i="27"/>
  <c r="C41" i="27"/>
  <c r="B44" i="27"/>
  <c r="D46" i="27"/>
  <c r="D53" i="27"/>
  <c r="B54" i="27"/>
  <c r="D56" i="27"/>
  <c r="C59" i="27"/>
  <c r="F5" i="25"/>
  <c r="E6" i="25"/>
  <c r="F35" i="25"/>
  <c r="E38" i="25"/>
  <c r="D41" i="25"/>
  <c r="C44" i="25"/>
  <c r="B47" i="25"/>
  <c r="F59" i="25"/>
  <c r="L4" i="25"/>
  <c r="B6" i="25"/>
  <c r="B8" i="25"/>
  <c r="B9" i="25"/>
  <c r="B10" i="25"/>
  <c r="E18" i="25"/>
  <c r="B20" i="25"/>
  <c r="C22" i="25"/>
  <c r="C24" i="25"/>
  <c r="F41" i="25"/>
  <c r="E44" i="25"/>
  <c r="D47" i="25"/>
  <c r="C54" i="25"/>
  <c r="B57" i="25"/>
  <c r="C60" i="25"/>
  <c r="C8" i="25"/>
  <c r="B13" i="25"/>
  <c r="B28" i="25"/>
  <c r="B39" i="25"/>
  <c r="E9" i="25"/>
  <c r="C14" i="25"/>
  <c r="C15" i="25"/>
  <c r="B16" i="25"/>
  <c r="C17" i="25"/>
  <c r="F24" i="25"/>
  <c r="F33" i="25"/>
  <c r="E36" i="25"/>
  <c r="D39" i="25"/>
  <c r="C42" i="25"/>
  <c r="B45" i="25"/>
  <c r="C10" i="25"/>
  <c r="E26" i="25"/>
  <c r="C36" i="25"/>
  <c r="C13" i="25"/>
  <c r="F8" i="25"/>
  <c r="F9" i="25"/>
  <c r="E10" i="25"/>
  <c r="E11" i="25"/>
  <c r="E12" i="25"/>
  <c r="D13" i="25"/>
  <c r="D14" i="25"/>
  <c r="D15" i="25"/>
  <c r="C16" i="25"/>
  <c r="E17" i="25"/>
  <c r="B19" i="25"/>
  <c r="S62" i="25"/>
  <c r="E61" i="25"/>
  <c r="C59" i="25"/>
  <c r="F58" i="25"/>
  <c r="D56" i="25"/>
  <c r="B54" i="25"/>
  <c r="D53" i="25"/>
  <c r="F52" i="25"/>
  <c r="F48" i="25"/>
  <c r="D46" i="25"/>
  <c r="B44" i="25"/>
  <c r="E43" i="25"/>
  <c r="C41" i="25"/>
  <c r="F40" i="25"/>
  <c r="D38" i="25"/>
  <c r="B36" i="25"/>
  <c r="E35" i="25"/>
  <c r="C33" i="25"/>
  <c r="F32" i="25"/>
  <c r="F28" i="25"/>
  <c r="D26" i="25"/>
  <c r="B24" i="25"/>
  <c r="E23" i="25"/>
  <c r="C21" i="25"/>
  <c r="F20" i="25"/>
  <c r="D18" i="25"/>
  <c r="D61" i="25"/>
  <c r="B59" i="25"/>
  <c r="E58" i="25"/>
  <c r="C56" i="25"/>
  <c r="F55" i="25"/>
  <c r="C53" i="25"/>
  <c r="E52" i="25"/>
  <c r="S49" i="25"/>
  <c r="E48" i="25"/>
  <c r="C46" i="25"/>
  <c r="F45" i="25"/>
  <c r="D43" i="25"/>
  <c r="B41" i="25"/>
  <c r="E40" i="25"/>
  <c r="C38" i="25"/>
  <c r="F37" i="25"/>
  <c r="D35" i="25"/>
  <c r="B33" i="25"/>
  <c r="E32" i="25"/>
  <c r="S29" i="25"/>
  <c r="E28" i="25"/>
  <c r="C26" i="25"/>
  <c r="F25" i="25"/>
  <c r="D23" i="25"/>
  <c r="B21" i="25"/>
  <c r="E20" i="25"/>
  <c r="C18" i="25"/>
  <c r="F17" i="25"/>
  <c r="C61" i="25"/>
  <c r="F60" i="25"/>
  <c r="D58" i="25"/>
  <c r="B56" i="25"/>
  <c r="E55" i="25"/>
  <c r="B53" i="25"/>
  <c r="D52" i="25"/>
  <c r="D48" i="25"/>
  <c r="B46" i="25"/>
  <c r="E45" i="25"/>
  <c r="C43" i="25"/>
  <c r="F42" i="25"/>
  <c r="D40" i="25"/>
  <c r="B38" i="25"/>
  <c r="E37" i="25"/>
  <c r="C35" i="25"/>
  <c r="F34" i="25"/>
  <c r="D32" i="25"/>
  <c r="D28" i="25"/>
  <c r="B26" i="25"/>
  <c r="E25" i="25"/>
  <c r="C23" i="25"/>
  <c r="F22" i="25"/>
  <c r="D20" i="25"/>
  <c r="B18" i="25"/>
  <c r="B61" i="25"/>
  <c r="E60" i="25"/>
  <c r="C58" i="25"/>
  <c r="F57" i="25"/>
  <c r="D55" i="25"/>
  <c r="C52" i="25"/>
  <c r="C48" i="25"/>
  <c r="F47" i="25"/>
  <c r="D45" i="25"/>
  <c r="B43" i="25"/>
  <c r="E42" i="25"/>
  <c r="C40" i="25"/>
  <c r="F39" i="25"/>
  <c r="D37" i="25"/>
  <c r="B35" i="25"/>
  <c r="E34" i="25"/>
  <c r="C32" i="25"/>
  <c r="C28" i="25"/>
  <c r="F27" i="25"/>
  <c r="D25" i="25"/>
  <c r="B23" i="25"/>
  <c r="E22" i="25"/>
  <c r="C20" i="25"/>
  <c r="F19" i="25"/>
  <c r="D17" i="25"/>
  <c r="B15" i="25"/>
  <c r="E14" i="25"/>
  <c r="C12" i="25"/>
  <c r="F11" i="25"/>
  <c r="D9" i="25"/>
  <c r="B40" i="25"/>
  <c r="E39" i="25"/>
  <c r="C37" i="25"/>
  <c r="F36" i="25"/>
  <c r="D34" i="25"/>
  <c r="D60" i="25"/>
  <c r="B58" i="25"/>
  <c r="E57" i="25"/>
  <c r="C55" i="25"/>
  <c r="F54" i="25"/>
  <c r="B52" i="25"/>
  <c r="B48" i="25"/>
  <c r="E47" i="25"/>
  <c r="C45" i="25"/>
  <c r="F44" i="25"/>
  <c r="D42" i="25"/>
  <c r="B60" i="25"/>
  <c r="E59" i="25"/>
  <c r="C57" i="25"/>
  <c r="F56" i="25"/>
  <c r="D54" i="25"/>
  <c r="F53" i="25"/>
  <c r="C47" i="25"/>
  <c r="F46" i="25"/>
  <c r="D44" i="25"/>
  <c r="B42" i="25"/>
  <c r="E41" i="25"/>
  <c r="C39" i="25"/>
  <c r="F38" i="25"/>
  <c r="D36" i="25"/>
  <c r="B34" i="25"/>
  <c r="E33" i="25"/>
  <c r="C27" i="25"/>
  <c r="F26" i="25"/>
  <c r="D24" i="25"/>
  <c r="B22" i="25"/>
  <c r="E21" i="25"/>
  <c r="C19" i="25"/>
  <c r="F18" i="25"/>
  <c r="D16" i="25"/>
  <c r="B14" i="25"/>
  <c r="E13" i="25"/>
  <c r="C11" i="25"/>
  <c r="F10" i="25"/>
  <c r="D8" i="25"/>
  <c r="F61" i="25"/>
  <c r="C6" i="25"/>
  <c r="B11" i="25"/>
  <c r="E24" i="25"/>
  <c r="D57" i="25"/>
  <c r="E8" i="25"/>
  <c r="D10" i="25"/>
  <c r="F12" i="25"/>
  <c r="F13" i="25"/>
  <c r="F14" i="25"/>
  <c r="E15" i="25"/>
  <c r="E16" i="25"/>
  <c r="D19" i="25"/>
  <c r="D21" i="25"/>
  <c r="B25" i="25"/>
  <c r="B27" i="25"/>
  <c r="C34" i="25"/>
  <c r="B37" i="25"/>
  <c r="D12" i="25"/>
  <c r="F15" i="25"/>
  <c r="F16" i="25"/>
  <c r="E19" i="25"/>
  <c r="F21" i="25"/>
  <c r="F23" i="25"/>
  <c r="C25" i="25"/>
  <c r="D27" i="25"/>
  <c r="F43" i="25"/>
  <c r="E46" i="25"/>
  <c r="C9" i="25"/>
  <c r="B12" i="25"/>
  <c r="B17" i="25"/>
  <c r="D22" i="25"/>
  <c r="D33" i="25"/>
  <c r="E54" i="25"/>
  <c r="D6" i="25"/>
  <c r="D11" i="25"/>
  <c r="E27" i="25"/>
  <c r="B32" i="25"/>
  <c r="E53" i="25"/>
  <c r="E56" i="25"/>
  <c r="D59" i="25"/>
  <c r="M63" i="18"/>
  <c r="M50" i="18"/>
  <c r="M30" i="18"/>
  <c r="C11" i="8"/>
  <c r="C9" i="8"/>
  <c r="C10" i="8"/>
  <c r="C8" i="8"/>
  <c r="C3" i="8"/>
  <c r="C12" i="8"/>
  <c r="C7" i="8"/>
  <c r="C50" i="27" l="1"/>
  <c r="B63" i="27"/>
  <c r="C30" i="27"/>
  <c r="C63" i="27"/>
  <c r="B30" i="27"/>
  <c r="T29" i="27"/>
  <c r="S30" i="27"/>
  <c r="T30" i="27" s="1"/>
  <c r="U29" i="27"/>
  <c r="D32" i="27"/>
  <c r="D37" i="27"/>
  <c r="D9" i="27"/>
  <c r="D42" i="27"/>
  <c r="D14" i="27"/>
  <c r="D24" i="27"/>
  <c r="T49" i="27"/>
  <c r="S50" i="27"/>
  <c r="T50" i="27" s="1"/>
  <c r="U49" i="27"/>
  <c r="D34" i="27"/>
  <c r="D59" i="27"/>
  <c r="D27" i="27"/>
  <c r="D6" i="27"/>
  <c r="E5" i="27"/>
  <c r="D13" i="27"/>
  <c r="D41" i="27"/>
  <c r="D33" i="27"/>
  <c r="D21" i="27"/>
  <c r="D25" i="27"/>
  <c r="D60" i="27"/>
  <c r="D19" i="27"/>
  <c r="D54" i="27"/>
  <c r="D44" i="27"/>
  <c r="N63" i="27"/>
  <c r="P63" i="27" s="1"/>
  <c r="B50" i="27"/>
  <c r="D8" i="27"/>
  <c r="B63" i="25"/>
  <c r="D30" i="25"/>
  <c r="E63" i="25"/>
  <c r="D50" i="25"/>
  <c r="F30" i="25"/>
  <c r="E30" i="25"/>
  <c r="C63" i="25"/>
  <c r="D63" i="25"/>
  <c r="E50" i="25"/>
  <c r="C50" i="25"/>
  <c r="F63" i="25"/>
  <c r="F50" i="25"/>
  <c r="C30" i="25"/>
  <c r="B50" i="25"/>
  <c r="T29" i="25"/>
  <c r="S30" i="25"/>
  <c r="T30" i="25" s="1"/>
  <c r="U29" i="25"/>
  <c r="U62" i="25"/>
  <c r="T62" i="25"/>
  <c r="S63" i="25"/>
  <c r="T63" i="25" s="1"/>
  <c r="T49" i="25"/>
  <c r="S50" i="25"/>
  <c r="T50" i="25" s="1"/>
  <c r="U49" i="25"/>
  <c r="B30" i="25"/>
  <c r="F6" i="25"/>
  <c r="G5" i="25"/>
  <c r="C5" i="18"/>
  <c r="A2" i="18"/>
  <c r="B4" i="8"/>
  <c r="B5" i="8" s="1"/>
  <c r="B6" i="8" s="1"/>
  <c r="B7" i="8" s="1"/>
  <c r="B8" i="8" s="1"/>
  <c r="B9" i="8" s="1"/>
  <c r="B10" i="8" s="1"/>
  <c r="B11" i="8" s="1"/>
  <c r="B12" i="8" s="1"/>
  <c r="K7" i="5"/>
  <c r="J7" i="5"/>
  <c r="I7" i="5"/>
  <c r="H7" i="5"/>
  <c r="G7" i="5"/>
  <c r="F7" i="5"/>
  <c r="K3" i="5"/>
  <c r="J3" i="5"/>
  <c r="I3" i="5"/>
  <c r="H3" i="5"/>
  <c r="G3" i="5"/>
  <c r="F3" i="5"/>
  <c r="D50" i="27" l="1"/>
  <c r="D63" i="27"/>
  <c r="D30" i="27"/>
  <c r="N50" i="27"/>
  <c r="P50" i="27" s="1"/>
  <c r="N30" i="27"/>
  <c r="P30" i="27" s="1"/>
  <c r="F5" i="27"/>
  <c r="E18" i="27"/>
  <c r="E10" i="27"/>
  <c r="E26" i="27"/>
  <c r="E6" i="27"/>
  <c r="E38" i="27"/>
  <c r="E59" i="27"/>
  <c r="E24" i="27"/>
  <c r="E61" i="27"/>
  <c r="E21" i="27"/>
  <c r="E25" i="27"/>
  <c r="E12" i="27"/>
  <c r="E40" i="27"/>
  <c r="E23" i="27"/>
  <c r="E11" i="27"/>
  <c r="E39" i="27"/>
  <c r="E34" i="27"/>
  <c r="E32" i="27"/>
  <c r="E15" i="27"/>
  <c r="E36" i="27"/>
  <c r="E20" i="27"/>
  <c r="E48" i="27"/>
  <c r="E46" i="27"/>
  <c r="E33" i="27"/>
  <c r="E8" i="27"/>
  <c r="E19" i="27"/>
  <c r="E47" i="27"/>
  <c r="E14" i="27"/>
  <c r="E42" i="27"/>
  <c r="E37" i="27"/>
  <c r="E35" i="27"/>
  <c r="E53" i="27"/>
  <c r="E44" i="27"/>
  <c r="E54" i="27"/>
  <c r="E9" i="27"/>
  <c r="E28" i="27"/>
  <c r="E52" i="27"/>
  <c r="E58" i="27"/>
  <c r="E60" i="27"/>
  <c r="E17" i="27"/>
  <c r="E55" i="27"/>
  <c r="E41" i="27"/>
  <c r="E16" i="27"/>
  <c r="E27" i="27"/>
  <c r="E57" i="27"/>
  <c r="E22" i="27"/>
  <c r="E45" i="27"/>
  <c r="E43" i="27"/>
  <c r="E56" i="27"/>
  <c r="E13" i="27"/>
  <c r="N63" i="25"/>
  <c r="N30" i="25"/>
  <c r="P30" i="25" s="1"/>
  <c r="H5" i="25"/>
  <c r="G6" i="25"/>
  <c r="G39" i="25"/>
  <c r="G24" i="25"/>
  <c r="G15" i="25"/>
  <c r="G60" i="25"/>
  <c r="G18" i="25"/>
  <c r="G42" i="25"/>
  <c r="G54" i="25"/>
  <c r="G43" i="25"/>
  <c r="G58" i="25"/>
  <c r="G55" i="25"/>
  <c r="G57" i="25"/>
  <c r="G22" i="25"/>
  <c r="G25" i="25"/>
  <c r="G44" i="25"/>
  <c r="G16" i="25"/>
  <c r="G59" i="25"/>
  <c r="G12" i="25"/>
  <c r="G45" i="25"/>
  <c r="G10" i="25"/>
  <c r="G52" i="25"/>
  <c r="G53" i="25"/>
  <c r="G20" i="25"/>
  <c r="G34" i="25"/>
  <c r="G27" i="25"/>
  <c r="G35" i="25"/>
  <c r="G13" i="25"/>
  <c r="G21" i="25"/>
  <c r="G9" i="25"/>
  <c r="G17" i="25"/>
  <c r="G14" i="25"/>
  <c r="G46" i="25"/>
  <c r="G32" i="25"/>
  <c r="G19" i="25"/>
  <c r="G56" i="25"/>
  <c r="G48" i="25"/>
  <c r="G36" i="25"/>
  <c r="G8" i="25"/>
  <c r="G37" i="25"/>
  <c r="G40" i="25"/>
  <c r="G38" i="25"/>
  <c r="G26" i="25"/>
  <c r="G47" i="25"/>
  <c r="G33" i="25"/>
  <c r="G41" i="25"/>
  <c r="G23" i="25"/>
  <c r="G11" i="25"/>
  <c r="G28" i="25"/>
  <c r="G61" i="25"/>
  <c r="N50" i="25"/>
  <c r="P50" i="25" s="1"/>
  <c r="J60" i="18"/>
  <c r="B60" i="18"/>
  <c r="D59" i="18"/>
  <c r="F58" i="18"/>
  <c r="H57" i="18"/>
  <c r="J56" i="18"/>
  <c r="B56" i="18"/>
  <c r="D55" i="18"/>
  <c r="F54" i="18"/>
  <c r="H53" i="18"/>
  <c r="J52" i="18"/>
  <c r="J59" i="18"/>
  <c r="D58" i="18"/>
  <c r="H56" i="18"/>
  <c r="B55" i="18"/>
  <c r="D54" i="18"/>
  <c r="H52" i="18"/>
  <c r="J54" i="18"/>
  <c r="F52" i="18"/>
  <c r="H54" i="18"/>
  <c r="K60" i="18"/>
  <c r="I57" i="18"/>
  <c r="G54" i="18"/>
  <c r="C52" i="18"/>
  <c r="I60" i="18"/>
  <c r="K59" i="18"/>
  <c r="C59" i="18"/>
  <c r="E58" i="18"/>
  <c r="G57" i="18"/>
  <c r="I56" i="18"/>
  <c r="K55" i="18"/>
  <c r="C55" i="18"/>
  <c r="E54" i="18"/>
  <c r="G53" i="18"/>
  <c r="I52" i="18"/>
  <c r="H60" i="18"/>
  <c r="B59" i="18"/>
  <c r="F57" i="18"/>
  <c r="J55" i="18"/>
  <c r="F53" i="18"/>
  <c r="H55" i="18"/>
  <c r="D53" i="18"/>
  <c r="F55" i="18"/>
  <c r="D52" i="18"/>
  <c r="E59" i="18"/>
  <c r="K56" i="18"/>
  <c r="I53" i="18"/>
  <c r="G60" i="18"/>
  <c r="I59" i="18"/>
  <c r="K58" i="18"/>
  <c r="C58" i="18"/>
  <c r="E57" i="18"/>
  <c r="G56" i="18"/>
  <c r="I55" i="18"/>
  <c r="K54" i="18"/>
  <c r="C54" i="18"/>
  <c r="E53" i="18"/>
  <c r="G52" i="18"/>
  <c r="F60" i="18"/>
  <c r="H59" i="18"/>
  <c r="J58" i="18"/>
  <c r="B58" i="18"/>
  <c r="D57" i="18"/>
  <c r="F56" i="18"/>
  <c r="B54" i="18"/>
  <c r="B57" i="18"/>
  <c r="J53" i="18"/>
  <c r="C60" i="18"/>
  <c r="C56" i="18"/>
  <c r="E60" i="18"/>
  <c r="G59" i="18"/>
  <c r="I58" i="18"/>
  <c r="K57" i="18"/>
  <c r="C57" i="18"/>
  <c r="E56" i="18"/>
  <c r="G55" i="18"/>
  <c r="I54" i="18"/>
  <c r="K53" i="18"/>
  <c r="C53" i="18"/>
  <c r="E52" i="18"/>
  <c r="D60" i="18"/>
  <c r="F59" i="18"/>
  <c r="H58" i="18"/>
  <c r="J57" i="18"/>
  <c r="D56" i="18"/>
  <c r="B53" i="18"/>
  <c r="G58" i="18"/>
  <c r="E55" i="18"/>
  <c r="K52" i="18"/>
  <c r="B46" i="18"/>
  <c r="B52" i="18"/>
  <c r="B8" i="18"/>
  <c r="K28" i="18"/>
  <c r="C28" i="18"/>
  <c r="E27" i="18"/>
  <c r="G26" i="18"/>
  <c r="I25" i="18"/>
  <c r="K24" i="18"/>
  <c r="C24" i="18"/>
  <c r="E23" i="18"/>
  <c r="G22" i="18"/>
  <c r="I21" i="18"/>
  <c r="K20" i="18"/>
  <c r="C20" i="18"/>
  <c r="G18" i="18"/>
  <c r="I9" i="18"/>
  <c r="J28" i="18"/>
  <c r="B28" i="18"/>
  <c r="D27" i="18"/>
  <c r="F26" i="18"/>
  <c r="H25" i="18"/>
  <c r="J24" i="18"/>
  <c r="B24" i="18"/>
  <c r="D23" i="18"/>
  <c r="F22" i="18"/>
  <c r="H21" i="18"/>
  <c r="J20" i="18"/>
  <c r="B20" i="18"/>
  <c r="D19" i="18"/>
  <c r="F18" i="18"/>
  <c r="H17" i="18"/>
  <c r="J16" i="18"/>
  <c r="B16" i="18"/>
  <c r="D15" i="18"/>
  <c r="F14" i="18"/>
  <c r="H13" i="18"/>
  <c r="J12" i="18"/>
  <c r="B12" i="18"/>
  <c r="D11" i="18"/>
  <c r="F10" i="18"/>
  <c r="H9" i="18"/>
  <c r="J8" i="18"/>
  <c r="J26" i="18"/>
  <c r="H23" i="18"/>
  <c r="F20" i="18"/>
  <c r="D17" i="18"/>
  <c r="B14" i="18"/>
  <c r="B10" i="18"/>
  <c r="D28" i="18"/>
  <c r="D24" i="18"/>
  <c r="D20" i="18"/>
  <c r="F15" i="18"/>
  <c r="H10" i="18"/>
  <c r="K16" i="18"/>
  <c r="I13" i="18"/>
  <c r="C8" i="18"/>
  <c r="I28" i="18"/>
  <c r="K27" i="18"/>
  <c r="C27" i="18"/>
  <c r="E26" i="18"/>
  <c r="G25" i="18"/>
  <c r="I24" i="18"/>
  <c r="K23" i="18"/>
  <c r="C23" i="18"/>
  <c r="E22" i="18"/>
  <c r="G21" i="18"/>
  <c r="I20" i="18"/>
  <c r="K19" i="18"/>
  <c r="C19" i="18"/>
  <c r="E18" i="18"/>
  <c r="G17" i="18"/>
  <c r="I16" i="18"/>
  <c r="K15" i="18"/>
  <c r="C15" i="18"/>
  <c r="E14" i="18"/>
  <c r="G13" i="18"/>
  <c r="I12" i="18"/>
  <c r="K11" i="18"/>
  <c r="C11" i="18"/>
  <c r="E10" i="18"/>
  <c r="G9" i="18"/>
  <c r="I8" i="18"/>
  <c r="H27" i="18"/>
  <c r="J22" i="18"/>
  <c r="J18" i="18"/>
  <c r="H15" i="18"/>
  <c r="H11" i="18"/>
  <c r="F27" i="18"/>
  <c r="F23" i="18"/>
  <c r="F19" i="18"/>
  <c r="H14" i="18"/>
  <c r="J9" i="18"/>
  <c r="G14" i="18"/>
  <c r="K8" i="18"/>
  <c r="H28" i="18"/>
  <c r="J27" i="18"/>
  <c r="B27" i="18"/>
  <c r="D26" i="18"/>
  <c r="F25" i="18"/>
  <c r="H24" i="18"/>
  <c r="J23" i="18"/>
  <c r="B23" i="18"/>
  <c r="D22" i="18"/>
  <c r="F21" i="18"/>
  <c r="H20" i="18"/>
  <c r="J19" i="18"/>
  <c r="B19" i="18"/>
  <c r="D18" i="18"/>
  <c r="F17" i="18"/>
  <c r="H16" i="18"/>
  <c r="J15" i="18"/>
  <c r="B15" i="18"/>
  <c r="D14" i="18"/>
  <c r="F13" i="18"/>
  <c r="H12" i="18"/>
  <c r="J11" i="18"/>
  <c r="B11" i="18"/>
  <c r="D10" i="18"/>
  <c r="F9" i="18"/>
  <c r="H8" i="18"/>
  <c r="G8" i="18"/>
  <c r="B26" i="18"/>
  <c r="F24" i="18"/>
  <c r="B22" i="18"/>
  <c r="H19" i="18"/>
  <c r="F16" i="18"/>
  <c r="F12" i="18"/>
  <c r="F8" i="18"/>
  <c r="B25" i="18"/>
  <c r="J21" i="18"/>
  <c r="B17" i="18"/>
  <c r="B13" i="18"/>
  <c r="D8" i="18"/>
  <c r="E15" i="18"/>
  <c r="G10" i="18"/>
  <c r="G28" i="18"/>
  <c r="I27" i="18"/>
  <c r="K26" i="18"/>
  <c r="C26" i="18"/>
  <c r="E25" i="18"/>
  <c r="G24" i="18"/>
  <c r="I23" i="18"/>
  <c r="K22" i="18"/>
  <c r="C22" i="18"/>
  <c r="E21" i="18"/>
  <c r="G20" i="18"/>
  <c r="I19" i="18"/>
  <c r="K18" i="18"/>
  <c r="C18" i="18"/>
  <c r="E17" i="18"/>
  <c r="G16" i="18"/>
  <c r="I15" i="18"/>
  <c r="K14" i="18"/>
  <c r="C14" i="18"/>
  <c r="E13" i="18"/>
  <c r="G12" i="18"/>
  <c r="I11" i="18"/>
  <c r="K10" i="18"/>
  <c r="C10" i="18"/>
  <c r="E9" i="18"/>
  <c r="D25" i="18"/>
  <c r="D21" i="18"/>
  <c r="B18" i="18"/>
  <c r="J14" i="18"/>
  <c r="J10" i="18"/>
  <c r="D9" i="18"/>
  <c r="H26" i="18"/>
  <c r="H22" i="18"/>
  <c r="J17" i="18"/>
  <c r="J13" i="18"/>
  <c r="B9" i="18"/>
  <c r="C16" i="18"/>
  <c r="E11" i="18"/>
  <c r="F28" i="18"/>
  <c r="D13" i="18"/>
  <c r="H18" i="18"/>
  <c r="F11" i="18"/>
  <c r="I17" i="18"/>
  <c r="C12" i="18"/>
  <c r="E28" i="18"/>
  <c r="G27" i="18"/>
  <c r="I26" i="18"/>
  <c r="K25" i="18"/>
  <c r="C25" i="18"/>
  <c r="E24" i="18"/>
  <c r="G23" i="18"/>
  <c r="I22" i="18"/>
  <c r="K21" i="18"/>
  <c r="C21" i="18"/>
  <c r="E20" i="18"/>
  <c r="G19" i="18"/>
  <c r="I18" i="18"/>
  <c r="K17" i="18"/>
  <c r="C17" i="18"/>
  <c r="E16" i="18"/>
  <c r="G15" i="18"/>
  <c r="I14" i="18"/>
  <c r="K13" i="18"/>
  <c r="C13" i="18"/>
  <c r="E12" i="18"/>
  <c r="G11" i="18"/>
  <c r="I10" i="18"/>
  <c r="K9" i="18"/>
  <c r="C9" i="18"/>
  <c r="E8" i="18"/>
  <c r="J25" i="18"/>
  <c r="B21" i="18"/>
  <c r="D16" i="18"/>
  <c r="D12" i="18"/>
  <c r="E19" i="18"/>
  <c r="K12" i="18"/>
  <c r="K48" i="18"/>
  <c r="C48" i="18"/>
  <c r="E47" i="18"/>
  <c r="H47" i="18"/>
  <c r="D48" i="18"/>
  <c r="J48" i="18"/>
  <c r="B48" i="18"/>
  <c r="D47" i="18"/>
  <c r="G48" i="18"/>
  <c r="E48" i="18"/>
  <c r="I48" i="18"/>
  <c r="K47" i="18"/>
  <c r="C47" i="18"/>
  <c r="I47" i="18"/>
  <c r="G47" i="18"/>
  <c r="H48" i="18"/>
  <c r="J47" i="18"/>
  <c r="B47" i="18"/>
  <c r="F48" i="18"/>
  <c r="F47" i="18"/>
  <c r="K45" i="18"/>
  <c r="C45" i="18"/>
  <c r="E44" i="18"/>
  <c r="G43" i="18"/>
  <c r="I42" i="18"/>
  <c r="K41" i="18"/>
  <c r="C41" i="18"/>
  <c r="E40" i="18"/>
  <c r="G39" i="18"/>
  <c r="I38" i="18"/>
  <c r="K37" i="18"/>
  <c r="C37" i="18"/>
  <c r="E36" i="18"/>
  <c r="G35" i="18"/>
  <c r="I34" i="18"/>
  <c r="K33" i="18"/>
  <c r="C33" i="18"/>
  <c r="E32" i="18"/>
  <c r="C38" i="18"/>
  <c r="E33" i="18"/>
  <c r="F40" i="18"/>
  <c r="J34" i="18"/>
  <c r="J45" i="18"/>
  <c r="B45" i="18"/>
  <c r="D44" i="18"/>
  <c r="F43" i="18"/>
  <c r="H42" i="18"/>
  <c r="J41" i="18"/>
  <c r="B41" i="18"/>
  <c r="D40" i="18"/>
  <c r="F39" i="18"/>
  <c r="H38" i="18"/>
  <c r="J37" i="18"/>
  <c r="B37" i="18"/>
  <c r="D36" i="18"/>
  <c r="F35" i="18"/>
  <c r="H34" i="18"/>
  <c r="J33" i="18"/>
  <c r="B33" i="18"/>
  <c r="D32" i="18"/>
  <c r="G33" i="18"/>
  <c r="K34" i="18"/>
  <c r="J42" i="18"/>
  <c r="H35" i="18"/>
  <c r="I45" i="18"/>
  <c r="K44" i="18"/>
  <c r="C44" i="18"/>
  <c r="E43" i="18"/>
  <c r="G42" i="18"/>
  <c r="I41" i="18"/>
  <c r="K40" i="18"/>
  <c r="C40" i="18"/>
  <c r="E39" i="18"/>
  <c r="G38" i="18"/>
  <c r="I37" i="18"/>
  <c r="K36" i="18"/>
  <c r="C36" i="18"/>
  <c r="E35" i="18"/>
  <c r="G34" i="18"/>
  <c r="I33" i="18"/>
  <c r="K32" i="18"/>
  <c r="C32" i="18"/>
  <c r="I32" i="18"/>
  <c r="C34" i="18"/>
  <c r="B42" i="18"/>
  <c r="F36" i="18"/>
  <c r="H45" i="18"/>
  <c r="J44" i="18"/>
  <c r="B44" i="18"/>
  <c r="D43" i="18"/>
  <c r="F42" i="18"/>
  <c r="H41" i="18"/>
  <c r="J40" i="18"/>
  <c r="B40" i="18"/>
  <c r="D39" i="18"/>
  <c r="F38" i="18"/>
  <c r="H37" i="18"/>
  <c r="J36" i="18"/>
  <c r="B36" i="18"/>
  <c r="D35" i="18"/>
  <c r="F34" i="18"/>
  <c r="H33" i="18"/>
  <c r="J32" i="18"/>
  <c r="C35" i="18"/>
  <c r="I35" i="18"/>
  <c r="F44" i="18"/>
  <c r="H39" i="18"/>
  <c r="B34" i="18"/>
  <c r="G45" i="18"/>
  <c r="I44" i="18"/>
  <c r="K43" i="18"/>
  <c r="C43" i="18"/>
  <c r="E42" i="18"/>
  <c r="G41" i="18"/>
  <c r="I40" i="18"/>
  <c r="K39" i="18"/>
  <c r="C39" i="18"/>
  <c r="E38" i="18"/>
  <c r="G37" i="18"/>
  <c r="I36" i="18"/>
  <c r="K35" i="18"/>
  <c r="E34" i="18"/>
  <c r="G32" i="18"/>
  <c r="D41" i="18"/>
  <c r="D37" i="18"/>
  <c r="F45" i="18"/>
  <c r="H44" i="18"/>
  <c r="J43" i="18"/>
  <c r="B43" i="18"/>
  <c r="D42" i="18"/>
  <c r="F41" i="18"/>
  <c r="H40" i="18"/>
  <c r="J39" i="18"/>
  <c r="B39" i="18"/>
  <c r="D38" i="18"/>
  <c r="F37" i="18"/>
  <c r="H36" i="18"/>
  <c r="J35" i="18"/>
  <c r="B35" i="18"/>
  <c r="D34" i="18"/>
  <c r="F33" i="18"/>
  <c r="H32" i="18"/>
  <c r="E37" i="18"/>
  <c r="D45" i="18"/>
  <c r="J38" i="18"/>
  <c r="D33" i="18"/>
  <c r="E45" i="18"/>
  <c r="G44" i="18"/>
  <c r="I43" i="18"/>
  <c r="K42" i="18"/>
  <c r="C42" i="18"/>
  <c r="E41" i="18"/>
  <c r="G40" i="18"/>
  <c r="I39" i="18"/>
  <c r="K38" i="18"/>
  <c r="G36" i="18"/>
  <c r="H43" i="18"/>
  <c r="B38" i="18"/>
  <c r="F32" i="18"/>
  <c r="B32" i="18"/>
  <c r="K61" i="18"/>
  <c r="B61" i="18"/>
  <c r="J61" i="18"/>
  <c r="I61" i="18"/>
  <c r="G61" i="18"/>
  <c r="F61" i="18"/>
  <c r="H61" i="18"/>
  <c r="E61" i="18"/>
  <c r="C61" i="18"/>
  <c r="D61" i="18"/>
  <c r="D46" i="18"/>
  <c r="K46" i="18"/>
  <c r="J46" i="18"/>
  <c r="I46" i="18"/>
  <c r="H46" i="18"/>
  <c r="G46" i="18"/>
  <c r="F46" i="18"/>
  <c r="E46" i="18"/>
  <c r="C46" i="18"/>
  <c r="S49" i="18"/>
  <c r="S29" i="18"/>
  <c r="B6" i="18"/>
  <c r="S62" i="18"/>
  <c r="L4" i="18"/>
  <c r="C6" i="18"/>
  <c r="D5" i="18"/>
  <c r="E7" i="5"/>
  <c r="D7" i="5"/>
  <c r="C7" i="5"/>
  <c r="B7" i="5"/>
  <c r="E3" i="5"/>
  <c r="C3" i="5"/>
  <c r="B3" i="5"/>
  <c r="D3" i="5"/>
  <c r="B17" i="2"/>
  <c r="B11" i="2"/>
  <c r="B13" i="2"/>
  <c r="B10" i="2"/>
  <c r="B17" i="1"/>
  <c r="B10" i="1"/>
  <c r="B18" i="1"/>
  <c r="C18" i="1"/>
  <c r="C17" i="1"/>
  <c r="B13" i="1"/>
  <c r="C12" i="1"/>
  <c r="B12" i="1"/>
  <c r="C11" i="1"/>
  <c r="B11" i="1"/>
  <c r="C10" i="1"/>
  <c r="E50" i="27" l="1"/>
  <c r="E30" i="27"/>
  <c r="P65" i="27"/>
  <c r="E63" i="27"/>
  <c r="F6" i="27"/>
  <c r="G5" i="27"/>
  <c r="F35" i="27"/>
  <c r="F23" i="27"/>
  <c r="F15" i="27"/>
  <c r="F16" i="27"/>
  <c r="F44" i="27"/>
  <c r="F11" i="27"/>
  <c r="F39" i="27"/>
  <c r="F34" i="27"/>
  <c r="F43" i="27"/>
  <c r="F32" i="27"/>
  <c r="F53" i="27"/>
  <c r="F41" i="27"/>
  <c r="F25" i="27"/>
  <c r="F55" i="27"/>
  <c r="F17" i="27"/>
  <c r="F28" i="27"/>
  <c r="F38" i="27"/>
  <c r="F13" i="27"/>
  <c r="F24" i="27"/>
  <c r="F54" i="27"/>
  <c r="F19" i="27"/>
  <c r="F47" i="27"/>
  <c r="F42" i="27"/>
  <c r="F40" i="27"/>
  <c r="F10" i="27"/>
  <c r="F59" i="27"/>
  <c r="F57" i="27"/>
  <c r="F14" i="27"/>
  <c r="F12" i="27"/>
  <c r="F46" i="27"/>
  <c r="F56" i="27"/>
  <c r="F21" i="27"/>
  <c r="F27" i="27"/>
  <c r="F48" i="27"/>
  <c r="F58" i="27"/>
  <c r="F45" i="27"/>
  <c r="F18" i="27"/>
  <c r="F22" i="27"/>
  <c r="F60" i="27"/>
  <c r="F9" i="27"/>
  <c r="F37" i="27"/>
  <c r="F61" i="27"/>
  <c r="F20" i="27"/>
  <c r="F52" i="27"/>
  <c r="F8" i="27"/>
  <c r="F36" i="27"/>
  <c r="F26" i="27"/>
  <c r="F33" i="27"/>
  <c r="G63" i="25"/>
  <c r="G50" i="25"/>
  <c r="G30" i="25"/>
  <c r="I5" i="25"/>
  <c r="H6" i="25"/>
  <c r="H33" i="25"/>
  <c r="H38" i="25"/>
  <c r="H46" i="25"/>
  <c r="H28" i="25"/>
  <c r="H55" i="25"/>
  <c r="H10" i="25"/>
  <c r="H16" i="25"/>
  <c r="H42" i="25"/>
  <c r="H57" i="25"/>
  <c r="H27" i="25"/>
  <c r="H54" i="25"/>
  <c r="H11" i="25"/>
  <c r="H9" i="25"/>
  <c r="H15" i="25"/>
  <c r="H18" i="25"/>
  <c r="H44" i="25"/>
  <c r="H53" i="25"/>
  <c r="H52" i="25"/>
  <c r="H20" i="25"/>
  <c r="H35" i="25"/>
  <c r="H39" i="25"/>
  <c r="H40" i="25"/>
  <c r="H17" i="25"/>
  <c r="H45" i="25"/>
  <c r="H34" i="25"/>
  <c r="H47" i="25"/>
  <c r="H19" i="25"/>
  <c r="H59" i="25"/>
  <c r="H58" i="25"/>
  <c r="H48" i="25"/>
  <c r="H8" i="25"/>
  <c r="H43" i="25"/>
  <c r="H12" i="25"/>
  <c r="H23" i="25"/>
  <c r="H24" i="25"/>
  <c r="H36" i="25"/>
  <c r="H21" i="25"/>
  <c r="H25" i="25"/>
  <c r="H26" i="25"/>
  <c r="H22" i="25"/>
  <c r="H41" i="25"/>
  <c r="H13" i="25"/>
  <c r="H56" i="25"/>
  <c r="H37" i="25"/>
  <c r="H14" i="25"/>
  <c r="H61" i="25"/>
  <c r="H60" i="25"/>
  <c r="H32" i="25"/>
  <c r="P63" i="25"/>
  <c r="P65" i="25" s="1"/>
  <c r="C63" i="18"/>
  <c r="B63" i="18"/>
  <c r="C30" i="18"/>
  <c r="C50" i="18"/>
  <c r="B50" i="18"/>
  <c r="B30" i="18"/>
  <c r="S50" i="18"/>
  <c r="T50" i="18" s="1"/>
  <c r="U49" i="18"/>
  <c r="T49" i="18"/>
  <c r="D6" i="18"/>
  <c r="E5" i="18"/>
  <c r="S30" i="18"/>
  <c r="T30" i="18" s="1"/>
  <c r="U29" i="18"/>
  <c r="T29" i="18"/>
  <c r="S63" i="18"/>
  <c r="T63" i="18" s="1"/>
  <c r="U62" i="18"/>
  <c r="T62" i="18"/>
  <c r="D20" i="2"/>
  <c r="C18" i="2"/>
  <c r="C17" i="2"/>
  <c r="D19" i="2"/>
  <c r="F50" i="27" l="1"/>
  <c r="F30" i="27"/>
  <c r="F63" i="27"/>
  <c r="G6" i="27"/>
  <c r="H5" i="27"/>
  <c r="G12" i="27"/>
  <c r="G40" i="27"/>
  <c r="G28" i="27"/>
  <c r="G32" i="27"/>
  <c r="G20" i="27"/>
  <c r="G46" i="27"/>
  <c r="G56" i="27"/>
  <c r="G54" i="27"/>
  <c r="G11" i="27"/>
  <c r="G60" i="27"/>
  <c r="G9" i="27"/>
  <c r="G43" i="27"/>
  <c r="G18" i="27"/>
  <c r="G59" i="27"/>
  <c r="G24" i="27"/>
  <c r="G47" i="27"/>
  <c r="G45" i="27"/>
  <c r="G55" i="27"/>
  <c r="G15" i="27"/>
  <c r="G19" i="27"/>
  <c r="G57" i="27"/>
  <c r="G52" i="27"/>
  <c r="G34" i="27"/>
  <c r="G17" i="27"/>
  <c r="G21" i="27"/>
  <c r="G61" i="27"/>
  <c r="G26" i="27"/>
  <c r="G58" i="27"/>
  <c r="G33" i="27"/>
  <c r="G48" i="27"/>
  <c r="G23" i="27"/>
  <c r="G53" i="27"/>
  <c r="G27" i="27"/>
  <c r="G14" i="27"/>
  <c r="G42" i="27"/>
  <c r="G25" i="27"/>
  <c r="G37" i="27"/>
  <c r="G13" i="27"/>
  <c r="G41" i="27"/>
  <c r="G8" i="27"/>
  <c r="G36" i="27"/>
  <c r="G16" i="27"/>
  <c r="G44" i="27"/>
  <c r="G39" i="27"/>
  <c r="G38" i="27"/>
  <c r="G22" i="27"/>
  <c r="G35" i="27"/>
  <c r="G10" i="27"/>
  <c r="H63" i="25"/>
  <c r="H50" i="25"/>
  <c r="H30" i="25"/>
  <c r="I6" i="25"/>
  <c r="J5" i="25"/>
  <c r="I27" i="25"/>
  <c r="I33" i="25"/>
  <c r="I46" i="25"/>
  <c r="I18" i="25"/>
  <c r="I61" i="25"/>
  <c r="I9" i="25"/>
  <c r="I56" i="25"/>
  <c r="I36" i="25"/>
  <c r="I37" i="25"/>
  <c r="I40" i="25"/>
  <c r="I13" i="25"/>
  <c r="I45" i="25"/>
  <c r="I42" i="25"/>
  <c r="I19" i="25"/>
  <c r="I53" i="25"/>
  <c r="I38" i="25"/>
  <c r="I10" i="25"/>
  <c r="I52" i="25"/>
  <c r="I54" i="25"/>
  <c r="I24" i="25"/>
  <c r="I20" i="25"/>
  <c r="I57" i="25"/>
  <c r="I47" i="25"/>
  <c r="I59" i="25"/>
  <c r="I21" i="25"/>
  <c r="I60" i="25"/>
  <c r="I14" i="25"/>
  <c r="I11" i="25"/>
  <c r="I25" i="25"/>
  <c r="I12" i="25"/>
  <c r="I39" i="25"/>
  <c r="I34" i="25"/>
  <c r="I23" i="25"/>
  <c r="I32" i="25"/>
  <c r="I22" i="25"/>
  <c r="I35" i="25"/>
  <c r="I43" i="25"/>
  <c r="I58" i="25"/>
  <c r="I44" i="25"/>
  <c r="I16" i="25"/>
  <c r="I55" i="25"/>
  <c r="I41" i="25"/>
  <c r="I26" i="25"/>
  <c r="I17" i="25"/>
  <c r="I48" i="25"/>
  <c r="I8" i="25"/>
  <c r="I15" i="25"/>
  <c r="I28" i="25"/>
  <c r="D63" i="18"/>
  <c r="D50" i="18"/>
  <c r="N63" i="18"/>
  <c r="P63" i="18" s="1"/>
  <c r="D30" i="18"/>
  <c r="N30" i="18"/>
  <c r="P30" i="18" s="1"/>
  <c r="E6" i="18"/>
  <c r="F5" i="18"/>
  <c r="N50" i="18"/>
  <c r="P50" i="18" s="1"/>
  <c r="E25" i="2"/>
  <c r="E24" i="2"/>
  <c r="E20" i="2"/>
  <c r="E19" i="2"/>
  <c r="E18" i="2"/>
  <c r="E17" i="2"/>
  <c r="E13" i="2"/>
  <c r="E11" i="2"/>
  <c r="E9" i="2"/>
  <c r="E8" i="2"/>
  <c r="B8" i="2"/>
  <c r="B27" i="2"/>
  <c r="B12" i="2"/>
  <c r="E12" i="2" s="1"/>
  <c r="B9" i="2"/>
  <c r="B22" i="2"/>
  <c r="I27" i="2"/>
  <c r="D27" i="2"/>
  <c r="C27" i="2"/>
  <c r="I22" i="2"/>
  <c r="D22" i="2"/>
  <c r="C22" i="2"/>
  <c r="I15" i="2"/>
  <c r="C13" i="2"/>
  <c r="D15" i="2"/>
  <c r="C10" i="2"/>
  <c r="E10" i="2" s="1"/>
  <c r="H26" i="1"/>
  <c r="H22" i="1"/>
  <c r="H15" i="1"/>
  <c r="H28" i="1" s="1"/>
  <c r="D24" i="1"/>
  <c r="D26" i="1"/>
  <c r="G26" i="1" s="1"/>
  <c r="I26" i="1" s="1"/>
  <c r="C26" i="1"/>
  <c r="B26" i="1"/>
  <c r="D19" i="1"/>
  <c r="D18" i="1"/>
  <c r="D17" i="1"/>
  <c r="D13" i="1"/>
  <c r="D12" i="1"/>
  <c r="D11" i="1"/>
  <c r="D10" i="1"/>
  <c r="D9" i="1"/>
  <c r="D8" i="1"/>
  <c r="C15" i="1"/>
  <c r="C20" i="1"/>
  <c r="D20" i="1" s="1"/>
  <c r="B15" i="1"/>
  <c r="C19" i="1"/>
  <c r="C22" i="1" s="1"/>
  <c r="B22" i="1"/>
  <c r="G63" i="27" l="1"/>
  <c r="G50" i="27"/>
  <c r="G30" i="27"/>
  <c r="H6" i="27"/>
  <c r="I5" i="27"/>
  <c r="H37" i="27"/>
  <c r="H9" i="27"/>
  <c r="H25" i="27"/>
  <c r="H17" i="27"/>
  <c r="H20" i="27"/>
  <c r="H52" i="27"/>
  <c r="H24" i="27"/>
  <c r="H11" i="27"/>
  <c r="H39" i="27"/>
  <c r="H22" i="27"/>
  <c r="H55" i="27"/>
  <c r="H10" i="27"/>
  <c r="H38" i="27"/>
  <c r="H53" i="27"/>
  <c r="H33" i="27"/>
  <c r="H28" i="27"/>
  <c r="H35" i="27"/>
  <c r="H19" i="27"/>
  <c r="H47" i="27"/>
  <c r="H32" i="27"/>
  <c r="H18" i="27"/>
  <c r="H46" i="27"/>
  <c r="H13" i="27"/>
  <c r="H41" i="27"/>
  <c r="H36" i="27"/>
  <c r="H34" i="27"/>
  <c r="H43" i="27"/>
  <c r="H45" i="27"/>
  <c r="H8" i="27"/>
  <c r="H27" i="27"/>
  <c r="H57" i="27"/>
  <c r="H40" i="27"/>
  <c r="H15" i="27"/>
  <c r="H26" i="27"/>
  <c r="H56" i="27"/>
  <c r="H21" i="27"/>
  <c r="H44" i="27"/>
  <c r="H42" i="27"/>
  <c r="H23" i="27"/>
  <c r="H60" i="27"/>
  <c r="H12" i="27"/>
  <c r="H61" i="27"/>
  <c r="H59" i="27"/>
  <c r="H16" i="27"/>
  <c r="H54" i="27"/>
  <c r="H14" i="27"/>
  <c r="H48" i="27"/>
  <c r="H58" i="27"/>
  <c r="I30" i="25"/>
  <c r="I50" i="25"/>
  <c r="I63" i="25"/>
  <c r="K5" i="25"/>
  <c r="J6" i="25"/>
  <c r="J36" i="25"/>
  <c r="J21" i="25"/>
  <c r="J61" i="25"/>
  <c r="J60" i="25"/>
  <c r="J8" i="25"/>
  <c r="J16" i="25"/>
  <c r="J39" i="25"/>
  <c r="J38" i="25"/>
  <c r="J23" i="25"/>
  <c r="J14" i="25"/>
  <c r="J28" i="25"/>
  <c r="J9" i="25"/>
  <c r="J17" i="25"/>
  <c r="J37" i="25"/>
  <c r="J19" i="25"/>
  <c r="J12" i="25"/>
  <c r="J48" i="25"/>
  <c r="J13" i="25"/>
  <c r="J41" i="25"/>
  <c r="J53" i="25"/>
  <c r="J42" i="25"/>
  <c r="J10" i="25"/>
  <c r="J32" i="25"/>
  <c r="J27" i="25"/>
  <c r="J20" i="25"/>
  <c r="J24" i="25"/>
  <c r="J43" i="25"/>
  <c r="J15" i="25"/>
  <c r="J58" i="25"/>
  <c r="J52" i="25"/>
  <c r="J55" i="25"/>
  <c r="J11" i="25"/>
  <c r="J35" i="25"/>
  <c r="J40" i="25"/>
  <c r="J45" i="25"/>
  <c r="J46" i="25"/>
  <c r="J22" i="25"/>
  <c r="J33" i="25"/>
  <c r="J26" i="25"/>
  <c r="J34" i="25"/>
  <c r="J25" i="25"/>
  <c r="J57" i="25"/>
  <c r="J47" i="25"/>
  <c r="J54" i="25"/>
  <c r="J44" i="25"/>
  <c r="J59" i="25"/>
  <c r="J56" i="25"/>
  <c r="J18" i="25"/>
  <c r="E50" i="18"/>
  <c r="P65" i="18"/>
  <c r="E63" i="18"/>
  <c r="E30" i="18"/>
  <c r="F6" i="18"/>
  <c r="G5" i="18"/>
  <c r="D22" i="1"/>
  <c r="G22" i="1" s="1"/>
  <c r="I22" i="1" s="1"/>
  <c r="E27" i="2"/>
  <c r="H27" i="2" s="1"/>
  <c r="J27" i="2" s="1"/>
  <c r="D15" i="1"/>
  <c r="G15" i="1" s="1"/>
  <c r="I15" i="1" s="1"/>
  <c r="I29" i="2"/>
  <c r="B15" i="2"/>
  <c r="E15" i="2"/>
  <c r="H15" i="2" s="1"/>
  <c r="C15" i="2"/>
  <c r="E22" i="2"/>
  <c r="H22" i="2" s="1"/>
  <c r="J22" i="2" s="1"/>
  <c r="H30" i="27" l="1"/>
  <c r="H50" i="27"/>
  <c r="H63" i="27"/>
  <c r="I6" i="27"/>
  <c r="J5" i="27"/>
  <c r="I34" i="27"/>
  <c r="I22" i="27"/>
  <c r="I14" i="27"/>
  <c r="I40" i="27"/>
  <c r="I24" i="27"/>
  <c r="I54" i="27"/>
  <c r="I37" i="27"/>
  <c r="I12" i="27"/>
  <c r="I23" i="27"/>
  <c r="I18" i="27"/>
  <c r="I46" i="27"/>
  <c r="I41" i="27"/>
  <c r="I39" i="27"/>
  <c r="I10" i="27"/>
  <c r="I9" i="27"/>
  <c r="I48" i="27"/>
  <c r="I58" i="27"/>
  <c r="I56" i="27"/>
  <c r="I13" i="27"/>
  <c r="I11" i="27"/>
  <c r="I42" i="27"/>
  <c r="I45" i="27"/>
  <c r="I55" i="27"/>
  <c r="I20" i="27"/>
  <c r="I52" i="27"/>
  <c r="I61" i="27"/>
  <c r="I26" i="27"/>
  <c r="I60" i="27"/>
  <c r="I47" i="27"/>
  <c r="I57" i="27"/>
  <c r="I43" i="27"/>
  <c r="I17" i="27"/>
  <c r="I21" i="27"/>
  <c r="I59" i="27"/>
  <c r="I8" i="27"/>
  <c r="I36" i="27"/>
  <c r="I19" i="27"/>
  <c r="I28" i="27"/>
  <c r="I35" i="27"/>
  <c r="I15" i="27"/>
  <c r="I38" i="27"/>
  <c r="I25" i="27"/>
  <c r="I32" i="27"/>
  <c r="I16" i="27"/>
  <c r="I44" i="27"/>
  <c r="I27" i="27"/>
  <c r="I53" i="27"/>
  <c r="I33" i="27"/>
  <c r="J50" i="25"/>
  <c r="J63" i="25"/>
  <c r="J30" i="25"/>
  <c r="K6" i="25"/>
  <c r="K10" i="25"/>
  <c r="L10" i="25" s="1"/>
  <c r="K36" i="25"/>
  <c r="L36" i="25" s="1"/>
  <c r="K59" i="25"/>
  <c r="L59" i="25" s="1"/>
  <c r="K61" i="25"/>
  <c r="L61" i="25" s="1"/>
  <c r="K23" i="25"/>
  <c r="L23" i="25" s="1"/>
  <c r="K34" i="25"/>
  <c r="L34" i="25" s="1"/>
  <c r="K15" i="25"/>
  <c r="L15" i="25" s="1"/>
  <c r="K32" i="25"/>
  <c r="K37" i="25"/>
  <c r="L37" i="25" s="1"/>
  <c r="K45" i="25"/>
  <c r="L45" i="25" s="1"/>
  <c r="K27" i="25"/>
  <c r="L27" i="25" s="1"/>
  <c r="K54" i="25"/>
  <c r="L54" i="25" s="1"/>
  <c r="K24" i="25"/>
  <c r="L24" i="25" s="1"/>
  <c r="K9" i="25"/>
  <c r="L9" i="25" s="1"/>
  <c r="K40" i="25"/>
  <c r="L40" i="25" s="1"/>
  <c r="K41" i="25"/>
  <c r="L41" i="25" s="1"/>
  <c r="K56" i="25"/>
  <c r="L56" i="25" s="1"/>
  <c r="K26" i="25"/>
  <c r="L26" i="25" s="1"/>
  <c r="K8" i="25"/>
  <c r="K17" i="25"/>
  <c r="L17" i="25" s="1"/>
  <c r="K13" i="25"/>
  <c r="L13" i="25" s="1"/>
  <c r="K25" i="25"/>
  <c r="L25" i="25" s="1"/>
  <c r="K43" i="25"/>
  <c r="L43" i="25" s="1"/>
  <c r="K52" i="25"/>
  <c r="K28" i="25"/>
  <c r="L28" i="25" s="1"/>
  <c r="K19" i="25"/>
  <c r="L19" i="25" s="1"/>
  <c r="K42" i="25"/>
  <c r="L42" i="25" s="1"/>
  <c r="K35" i="25"/>
  <c r="L35" i="25" s="1"/>
  <c r="K48" i="25"/>
  <c r="L48" i="25" s="1"/>
  <c r="K20" i="25"/>
  <c r="L20" i="25" s="1"/>
  <c r="K21" i="25"/>
  <c r="L21" i="25" s="1"/>
  <c r="K14" i="25"/>
  <c r="L14" i="25" s="1"/>
  <c r="K44" i="25"/>
  <c r="L44" i="25" s="1"/>
  <c r="K22" i="25"/>
  <c r="L22" i="25" s="1"/>
  <c r="K33" i="25"/>
  <c r="L33" i="25" s="1"/>
  <c r="K46" i="25"/>
  <c r="L46" i="25" s="1"/>
  <c r="K18" i="25"/>
  <c r="L18" i="25" s="1"/>
  <c r="K58" i="25"/>
  <c r="L58" i="25" s="1"/>
  <c r="K57" i="25"/>
  <c r="L57" i="25" s="1"/>
  <c r="K47" i="25"/>
  <c r="L47" i="25" s="1"/>
  <c r="K60" i="25"/>
  <c r="L60" i="25" s="1"/>
  <c r="K11" i="25"/>
  <c r="L11" i="25" s="1"/>
  <c r="K16" i="25"/>
  <c r="L16" i="25" s="1"/>
  <c r="K53" i="25"/>
  <c r="K38" i="25"/>
  <c r="L38" i="25" s="1"/>
  <c r="K39" i="25"/>
  <c r="L39" i="25" s="1"/>
  <c r="K12" i="25"/>
  <c r="L12" i="25" s="1"/>
  <c r="K55" i="25"/>
  <c r="L55" i="25" s="1"/>
  <c r="F63" i="18"/>
  <c r="F50" i="18"/>
  <c r="F30" i="18"/>
  <c r="H5" i="18"/>
  <c r="G6" i="18"/>
  <c r="I28" i="1"/>
  <c r="G28" i="1"/>
  <c r="H29" i="2"/>
  <c r="J15" i="2"/>
  <c r="J29" i="2" s="1"/>
  <c r="I63" i="27" l="1"/>
  <c r="I50" i="27"/>
  <c r="I30" i="27"/>
  <c r="J6" i="27"/>
  <c r="K5" i="27"/>
  <c r="J39" i="27"/>
  <c r="J27" i="27"/>
  <c r="J19" i="27"/>
  <c r="J11" i="27"/>
  <c r="J57" i="27"/>
  <c r="J42" i="27"/>
  <c r="J17" i="27"/>
  <c r="J47" i="27"/>
  <c r="J28" i="27"/>
  <c r="J52" i="27"/>
  <c r="J58" i="27"/>
  <c r="J23" i="27"/>
  <c r="J46" i="27"/>
  <c r="J44" i="27"/>
  <c r="J54" i="27"/>
  <c r="J14" i="27"/>
  <c r="J61" i="27"/>
  <c r="J18" i="27"/>
  <c r="J56" i="27"/>
  <c r="J33" i="27"/>
  <c r="J16" i="27"/>
  <c r="J55" i="27"/>
  <c r="J59" i="27"/>
  <c r="J60" i="27"/>
  <c r="J25" i="27"/>
  <c r="J32" i="27"/>
  <c r="J22" i="27"/>
  <c r="J26" i="27"/>
  <c r="J13" i="27"/>
  <c r="J41" i="27"/>
  <c r="J24" i="27"/>
  <c r="J12" i="27"/>
  <c r="J40" i="27"/>
  <c r="J35" i="27"/>
  <c r="J37" i="27"/>
  <c r="J53" i="27"/>
  <c r="J21" i="27"/>
  <c r="J8" i="27"/>
  <c r="J34" i="27"/>
  <c r="J9" i="27"/>
  <c r="J20" i="27"/>
  <c r="J48" i="27"/>
  <c r="J15" i="27"/>
  <c r="J43" i="27"/>
  <c r="J38" i="27"/>
  <c r="J36" i="27"/>
  <c r="J45" i="27"/>
  <c r="J10" i="27"/>
  <c r="K63" i="25"/>
  <c r="K50" i="25"/>
  <c r="K30" i="25"/>
  <c r="L8" i="25"/>
  <c r="L30" i="25" s="1"/>
  <c r="O30" i="25" s="1"/>
  <c r="L32" i="25"/>
  <c r="L50" i="25" s="1"/>
  <c r="O50" i="25" s="1"/>
  <c r="Q50" i="25" s="1"/>
  <c r="L63" i="25"/>
  <c r="G63" i="18"/>
  <c r="G30" i="18"/>
  <c r="G50" i="18"/>
  <c r="H6" i="18"/>
  <c r="I5" i="18"/>
  <c r="J50" i="27" l="1"/>
  <c r="J63" i="27"/>
  <c r="J30" i="27"/>
  <c r="K6" i="27"/>
  <c r="K16" i="27"/>
  <c r="L16" i="27" s="1"/>
  <c r="K8" i="27"/>
  <c r="K36" i="27"/>
  <c r="L36" i="27" s="1"/>
  <c r="K24" i="27"/>
  <c r="L24" i="27" s="1"/>
  <c r="K9" i="27"/>
  <c r="L9" i="27" s="1"/>
  <c r="K37" i="27"/>
  <c r="L37" i="27" s="1"/>
  <c r="K32" i="27"/>
  <c r="K27" i="27"/>
  <c r="L27" i="27" s="1"/>
  <c r="K34" i="27"/>
  <c r="L34" i="27" s="1"/>
  <c r="K18" i="27"/>
  <c r="L18" i="27" s="1"/>
  <c r="K46" i="27"/>
  <c r="L46" i="27" s="1"/>
  <c r="K17" i="27"/>
  <c r="L17" i="27" s="1"/>
  <c r="K45" i="27"/>
  <c r="L45" i="27" s="1"/>
  <c r="K12" i="27"/>
  <c r="L12" i="27" s="1"/>
  <c r="K40" i="27"/>
  <c r="L40" i="27" s="1"/>
  <c r="K35" i="27"/>
  <c r="L35" i="27" s="1"/>
  <c r="K33" i="27"/>
  <c r="L33" i="27" s="1"/>
  <c r="K23" i="27"/>
  <c r="L23" i="27" s="1"/>
  <c r="K61" i="27"/>
  <c r="L61" i="27" s="1"/>
  <c r="K53" i="27"/>
  <c r="K42" i="27"/>
  <c r="L42" i="27" s="1"/>
  <c r="K26" i="27"/>
  <c r="L26" i="27" s="1"/>
  <c r="K56" i="27"/>
  <c r="L56" i="27" s="1"/>
  <c r="K39" i="27"/>
  <c r="L39" i="27" s="1"/>
  <c r="K14" i="27"/>
  <c r="L14" i="27" s="1"/>
  <c r="K25" i="27"/>
  <c r="L25" i="27" s="1"/>
  <c r="K55" i="27"/>
  <c r="L55" i="27" s="1"/>
  <c r="K20" i="27"/>
  <c r="L20" i="27" s="1"/>
  <c r="K48" i="27"/>
  <c r="L48" i="27" s="1"/>
  <c r="K43" i="27"/>
  <c r="L43" i="27" s="1"/>
  <c r="K41" i="27"/>
  <c r="L41" i="27" s="1"/>
  <c r="K11" i="27"/>
  <c r="L11" i="27" s="1"/>
  <c r="K60" i="27"/>
  <c r="L60" i="27" s="1"/>
  <c r="K58" i="27"/>
  <c r="L58" i="27" s="1"/>
  <c r="K15" i="27"/>
  <c r="L15" i="27" s="1"/>
  <c r="K13" i="27"/>
  <c r="L13" i="27" s="1"/>
  <c r="K10" i="27"/>
  <c r="L10" i="27" s="1"/>
  <c r="K38" i="27"/>
  <c r="L38" i="27" s="1"/>
  <c r="K21" i="27"/>
  <c r="L21" i="27" s="1"/>
  <c r="K54" i="27"/>
  <c r="L54" i="27" s="1"/>
  <c r="K47" i="27"/>
  <c r="L47" i="27" s="1"/>
  <c r="K57" i="27"/>
  <c r="L57" i="27" s="1"/>
  <c r="K22" i="27"/>
  <c r="L22" i="27" s="1"/>
  <c r="K28" i="27"/>
  <c r="L28" i="27" s="1"/>
  <c r="K52" i="27"/>
  <c r="K59" i="27"/>
  <c r="L59" i="27" s="1"/>
  <c r="K19" i="27"/>
  <c r="L19" i="27" s="1"/>
  <c r="K44" i="27"/>
  <c r="L44" i="27" s="1"/>
  <c r="L64" i="25"/>
  <c r="O63" i="25"/>
  <c r="Q63" i="25" s="1"/>
  <c r="Q30" i="25"/>
  <c r="H63" i="18"/>
  <c r="H30" i="18"/>
  <c r="H50" i="18"/>
  <c r="I6" i="18"/>
  <c r="J5" i="18"/>
  <c r="O65" i="25" l="1"/>
  <c r="K30" i="27"/>
  <c r="L8" i="27"/>
  <c r="L30" i="27" s="1"/>
  <c r="O30" i="27" s="1"/>
  <c r="L63" i="27"/>
  <c r="K50" i="27"/>
  <c r="L32" i="27"/>
  <c r="L50" i="27" s="1"/>
  <c r="O50" i="27" s="1"/>
  <c r="Q50" i="27" s="1"/>
  <c r="K63" i="27"/>
  <c r="Q65" i="25"/>
  <c r="I63" i="18"/>
  <c r="I30" i="18"/>
  <c r="I50" i="18"/>
  <c r="J6" i="18"/>
  <c r="K5" i="18"/>
  <c r="O63" i="27" l="1"/>
  <c r="Q63" i="27" s="1"/>
  <c r="L64" i="27"/>
  <c r="Q30" i="27"/>
  <c r="L60" i="18"/>
  <c r="L48" i="18"/>
  <c r="L28" i="18"/>
  <c r="L20" i="18"/>
  <c r="L22" i="18"/>
  <c r="L14" i="18"/>
  <c r="L39" i="18"/>
  <c r="L40" i="18"/>
  <c r="L57" i="18"/>
  <c r="L54" i="18"/>
  <c r="L38" i="18"/>
  <c r="L33" i="18"/>
  <c r="L45" i="18"/>
  <c r="L23" i="18"/>
  <c r="L25" i="18"/>
  <c r="L59" i="18"/>
  <c r="L47" i="18"/>
  <c r="L42" i="18"/>
  <c r="L35" i="18"/>
  <c r="L56" i="18"/>
  <c r="L16" i="18"/>
  <c r="L26" i="18"/>
  <c r="L10" i="18"/>
  <c r="L44" i="18"/>
  <c r="L58" i="18"/>
  <c r="L34" i="18"/>
  <c r="L43" i="18"/>
  <c r="L37" i="18"/>
  <c r="L41" i="18"/>
  <c r="L19" i="18"/>
  <c r="L11" i="18"/>
  <c r="L13" i="18"/>
  <c r="L55" i="18"/>
  <c r="J63" i="18"/>
  <c r="J30" i="18"/>
  <c r="J50" i="18"/>
  <c r="K6" i="18"/>
  <c r="L61" i="18"/>
  <c r="L17" i="18"/>
  <c r="L46" i="18"/>
  <c r="L36" i="18"/>
  <c r="Q65" i="27" l="1"/>
  <c r="O65" i="27"/>
  <c r="L27" i="18"/>
  <c r="L21" i="18"/>
  <c r="L15" i="18"/>
  <c r="L9" i="18"/>
  <c r="L24" i="18"/>
  <c r="L12" i="18"/>
  <c r="L18" i="18"/>
  <c r="K30" i="18"/>
  <c r="L8" i="18"/>
  <c r="L63" i="18"/>
  <c r="K63" i="18"/>
  <c r="K50" i="18"/>
  <c r="L32" i="18"/>
  <c r="L50" i="18" s="1"/>
  <c r="O50" i="18" s="1"/>
  <c r="Q50" i="18" s="1"/>
  <c r="C4" i="8"/>
  <c r="L30" i="18" l="1"/>
  <c r="O30" i="18" s="1"/>
  <c r="Q30" i="18" s="1"/>
  <c r="L64" i="18"/>
  <c r="O63" i="18"/>
  <c r="Q63" i="18" s="1"/>
  <c r="Q65" i="18" l="1"/>
  <c r="O65" i="18"/>
  <c r="C6" i="8"/>
  <c r="C5" i="8"/>
  <c r="C14" i="8" l="1"/>
</calcChain>
</file>

<file path=xl/comments1.xml><?xml version="1.0" encoding="utf-8"?>
<comments xmlns="http://schemas.openxmlformats.org/spreadsheetml/2006/main">
  <authors>
    <author>Jarrett Urech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2013 Adjustments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adjustment from 2014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2013 persistance adjustments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adjustments from 2014</t>
        </r>
      </text>
    </comment>
  </commentList>
</comments>
</file>

<file path=xl/sharedStrings.xml><?xml version="1.0" encoding="utf-8"?>
<sst xmlns="http://schemas.openxmlformats.org/spreadsheetml/2006/main" count="627" uniqueCount="103">
  <si>
    <t>Appliance Retirement</t>
  </si>
  <si>
    <t>Appliance Exchange</t>
  </si>
  <si>
    <t>HVAC Incentives</t>
  </si>
  <si>
    <t>Conservation Instant Coupon Booklet</t>
  </si>
  <si>
    <t>Bi-Annual Retailer Event</t>
  </si>
  <si>
    <t>New</t>
  </si>
  <si>
    <t>Home Assistance Program</t>
  </si>
  <si>
    <t>Direct Install Lighting</t>
  </si>
  <si>
    <t>High Performance New Construction</t>
  </si>
  <si>
    <t>Total Residential</t>
  </si>
  <si>
    <t>Total GS &lt; 50 kW</t>
  </si>
  <si>
    <t>Program</t>
  </si>
  <si>
    <t>Persistence</t>
  </si>
  <si>
    <t>Electricity Retrofit Incentive Program</t>
  </si>
  <si>
    <t>Retrofit</t>
  </si>
  <si>
    <t>Total</t>
  </si>
  <si>
    <t>Average</t>
  </si>
  <si>
    <t>Rate</t>
  </si>
  <si>
    <t>Savings</t>
  </si>
  <si>
    <t>Total GS 50 - 4,999 kW</t>
  </si>
  <si>
    <t>Grand Total LRAMVA</t>
  </si>
  <si>
    <t>Calculated</t>
  </si>
  <si>
    <t>Forecast</t>
  </si>
  <si>
    <t>$</t>
  </si>
  <si>
    <t>LRAMVA</t>
  </si>
  <si>
    <t>2012 LRAMVA Calculation</t>
  </si>
  <si>
    <t>2013 LRAMVA Calculation</t>
  </si>
  <si>
    <t>Energy Manager</t>
  </si>
  <si>
    <t>2014 LRAMVA Calculation</t>
  </si>
  <si>
    <t>kWh/kW</t>
  </si>
  <si>
    <t>Sector2</t>
  </si>
  <si>
    <t>Initiative</t>
  </si>
  <si>
    <t>LDC</t>
  </si>
  <si>
    <t>(Implementation) Year</t>
  </si>
  <si>
    <t>Report</t>
  </si>
  <si>
    <t>Business</t>
  </si>
  <si>
    <t>Time-of-Use Savings</t>
  </si>
  <si>
    <t/>
  </si>
  <si>
    <t>Consumer</t>
  </si>
  <si>
    <t>Retailer Co-op</t>
  </si>
  <si>
    <t>Residential Demand Response</t>
  </si>
  <si>
    <t>Industrial</t>
  </si>
  <si>
    <t>DR-3</t>
  </si>
  <si>
    <t>Demand Response 3 (part of the Industrial program schedule)</t>
  </si>
  <si>
    <t>Demand Response 3</t>
  </si>
  <si>
    <t>Commercial Demand Response</t>
  </si>
  <si>
    <t>GS&lt;50</t>
  </si>
  <si>
    <t>GS&gt;50</t>
  </si>
  <si>
    <t>kW</t>
  </si>
  <si>
    <t>Year</t>
  </si>
  <si>
    <t>Effective</t>
  </si>
  <si>
    <t>Coupon Initiative</t>
  </si>
  <si>
    <t>Bi-Annual Retailer Event Initiative</t>
  </si>
  <si>
    <t>Appliance Retirement Initiative</t>
  </si>
  <si>
    <t>HVAC Incentives Initiative</t>
  </si>
  <si>
    <t>Residential New Construction and Major Renovation Initiative</t>
  </si>
  <si>
    <t>Energy Audit Initiative</t>
  </si>
  <si>
    <t>Direct Install Lighting and Water Heating Initiative</t>
  </si>
  <si>
    <t>New Construction and Major Renovation Initiative</t>
  </si>
  <si>
    <t>Existing Building Commissioning Incentive Initiative</t>
  </si>
  <si>
    <t>Process and Systems Upgrades Initiatives - Project Incentive Initiative</t>
  </si>
  <si>
    <t>Process and Systems Upgrades Initiatives - Energy Manager Initiative</t>
  </si>
  <si>
    <t>Process and Systems Upgrades Initiatives - Monitoring and Targeting Initiative</t>
  </si>
  <si>
    <t>Low Income Initiative</t>
  </si>
  <si>
    <t>Loblaws Pilot</t>
  </si>
  <si>
    <t>Social Benchmarking Pliot</t>
  </si>
  <si>
    <t>Conservation Fund Pilot - SEG</t>
  </si>
  <si>
    <t>Conservation Fund Pilot - EnerNOC</t>
  </si>
  <si>
    <t>Aboriginal Conservation Program</t>
  </si>
  <si>
    <t>Program Enabled Savings</t>
  </si>
  <si>
    <t>Energy Audit</t>
  </si>
  <si>
    <t>peaksaverPLUS</t>
  </si>
  <si>
    <t>peaksaverPLUS (IHD)</t>
  </si>
  <si>
    <t>Small Business Lighting</t>
  </si>
  <si>
    <t>Annual Coupons</t>
  </si>
  <si>
    <t>Bi-Annual Retailer Events</t>
  </si>
  <si>
    <t>HVAC</t>
  </si>
  <si>
    <t>Distributor</t>
  </si>
  <si>
    <t>Effective Date</t>
  </si>
  <si>
    <t>Implementation Date</t>
  </si>
  <si>
    <t>Service Classification</t>
  </si>
  <si>
    <t>Distribution Volumetric Rate</t>
  </si>
  <si>
    <t>Database</t>
  </si>
  <si>
    <t>Type</t>
  </si>
  <si>
    <t>Residential</t>
  </si>
  <si>
    <t>General Service Less Than 50 kW</t>
  </si>
  <si>
    <t>General Service 50 to 4,999 kW</t>
  </si>
  <si>
    <t>kWh</t>
  </si>
  <si>
    <t>*Do Not Include</t>
  </si>
  <si>
    <t>*3 Months Only</t>
  </si>
  <si>
    <t>LRAMVA ($)</t>
  </si>
  <si>
    <t>Northern Ontario Wires Inc.</t>
  </si>
  <si>
    <t>2014 Persistance Report</t>
  </si>
  <si>
    <t>2013 Persistance Report</t>
  </si>
  <si>
    <t>2011 Persistance Report</t>
  </si>
  <si>
    <t>2012 Persistance Report</t>
  </si>
  <si>
    <t>Energy Audit Funding</t>
  </si>
  <si>
    <t>Street Lighting</t>
  </si>
  <si>
    <t>SL</t>
  </si>
  <si>
    <t>Last Approved Cost of Service</t>
  </si>
  <si>
    <t>CDM Forecast Figures</t>
  </si>
  <si>
    <t>GS&lt;50kW</t>
  </si>
  <si>
    <t>GS&gt;50kW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</si>
</sst>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0_-;\-* #,##0.000000_-;_-* &quot;-&quot;??_-;_-@_-"/>
    <numFmt numFmtId="167" formatCode="[$-F800]dddd\,\ mmmm\ dd\,\ yyyy"/>
    <numFmt numFmtId="168" formatCode="0.0000"/>
    <numFmt numFmtId="169" formatCode="_-&quot;$&quot;* #,##0.0000_-;\-&quot;$&quot;* #,##0.00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11" fillId="0" borderId="0"/>
  </cellStyleXfs>
  <cellXfs count="69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5" fontId="0" fillId="0" borderId="0" xfId="1" applyNumberFormat="1" applyFont="1"/>
    <xf numFmtId="0" fontId="0" fillId="0" borderId="2" xfId="0" applyFill="1" applyBorder="1" applyAlignment="1">
      <alignment horizontal="center"/>
    </xf>
    <xf numFmtId="43" fontId="0" fillId="0" borderId="2" xfId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165" fontId="0" fillId="0" borderId="1" xfId="1" applyNumberFormat="1" applyFont="1" applyBorder="1"/>
    <xf numFmtId="43" fontId="0" fillId="0" borderId="1" xfId="1" applyFont="1" applyBorder="1"/>
    <xf numFmtId="43" fontId="0" fillId="0" borderId="3" xfId="1" applyFont="1" applyBorder="1"/>
    <xf numFmtId="164" fontId="0" fillId="2" borderId="0" xfId="1" applyNumberFormat="1" applyFont="1" applyFill="1"/>
    <xf numFmtId="164" fontId="0" fillId="3" borderId="0" xfId="1" applyNumberFormat="1" applyFont="1" applyFill="1"/>
    <xf numFmtId="0" fontId="4" fillId="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1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/>
    <xf numFmtId="4" fontId="6" fillId="0" borderId="0" xfId="0" applyNumberFormat="1" applyFont="1" applyFill="1"/>
    <xf numFmtId="9" fontId="0" fillId="0" borderId="0" xfId="2" applyFont="1"/>
    <xf numFmtId="43" fontId="0" fillId="0" borderId="0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1" applyNumberFormat="1" applyFont="1"/>
    <xf numFmtId="166" fontId="0" fillId="0" borderId="0" xfId="1" applyNumberFormat="1" applyFont="1"/>
    <xf numFmtId="0" fontId="4" fillId="6" borderId="0" xfId="0" applyFont="1" applyFill="1" applyBorder="1" applyAlignment="1">
      <alignment horizontal="center" vertical="center" wrapText="1"/>
    </xf>
    <xf numFmtId="44" fontId="0" fillId="0" borderId="0" xfId="4" applyFont="1"/>
    <xf numFmtId="164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7" borderId="0" xfId="5" applyFont="1" applyFill="1" applyAlignment="1">
      <alignment horizontal="center" vertical="center"/>
    </xf>
    <xf numFmtId="167" fontId="7" fillId="0" borderId="0" xfId="0" applyNumberFormat="1" applyFont="1" applyAlignment="1">
      <alignment horizontal="right"/>
    </xf>
    <xf numFmtId="0" fontId="0" fillId="0" borderId="0" xfId="0" applyAlignment="1"/>
    <xf numFmtId="168" fontId="0" fillId="0" borderId="0" xfId="0" applyNumberFormat="1" applyAlignment="1">
      <alignment horizontal="right"/>
    </xf>
    <xf numFmtId="167" fontId="7" fillId="0" borderId="0" xfId="6" applyNumberFormat="1" applyFont="1" applyAlignment="1">
      <alignment horizontal="right"/>
    </xf>
    <xf numFmtId="0" fontId="7" fillId="0" borderId="0" xfId="6" applyAlignment="1"/>
    <xf numFmtId="168" fontId="7" fillId="0" borderId="0" xfId="6" applyNumberFormat="1" applyAlignment="1">
      <alignment horizontal="right"/>
    </xf>
    <xf numFmtId="0" fontId="7" fillId="0" borderId="0" xfId="6" applyAlignment="1">
      <alignment vertical="center"/>
    </xf>
    <xf numFmtId="167" fontId="7" fillId="0" borderId="0" xfId="6" applyNumberFormat="1" applyFont="1" applyAlignment="1">
      <alignment horizontal="right" vertical="center"/>
    </xf>
    <xf numFmtId="168" fontId="7" fillId="0" borderId="0" xfId="6" applyNumberFormat="1" applyAlignment="1">
      <alignment horizontal="right" vertical="center"/>
    </xf>
    <xf numFmtId="0" fontId="7" fillId="0" borderId="0" xfId="7" applyAlignment="1"/>
    <xf numFmtId="0" fontId="0" fillId="0" borderId="0" xfId="0" applyFill="1" applyAlignment="1"/>
    <xf numFmtId="168" fontId="0" fillId="0" borderId="0" xfId="0" applyNumberFormat="1" applyFill="1" applyAlignment="1"/>
    <xf numFmtId="169" fontId="0" fillId="0" borderId="0" xfId="4" applyNumberFormat="1" applyFont="1" applyAlignment="1">
      <alignment horizontal="center" vertical="center"/>
    </xf>
    <xf numFmtId="43" fontId="0" fillId="3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43" fontId="0" fillId="0" borderId="0" xfId="1" applyNumberFormat="1" applyFont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0" fontId="0" fillId="0" borderId="0" xfId="0" applyFill="1"/>
    <xf numFmtId="0" fontId="7" fillId="0" borderId="0" xfId="6"/>
    <xf numFmtId="168" fontId="0" fillId="0" borderId="0" xfId="0" applyNumberFormat="1"/>
    <xf numFmtId="168" fontId="7" fillId="0" borderId="0" xfId="6" applyNumberFormat="1"/>
    <xf numFmtId="0" fontId="7" fillId="0" borderId="0" xfId="7"/>
    <xf numFmtId="168" fontId="7" fillId="0" borderId="0" xfId="7" applyNumberFormat="1"/>
    <xf numFmtId="0" fontId="0" fillId="0" borderId="0" xfId="0" applyFill="1" applyAlignment="1">
      <alignment wrapText="1"/>
    </xf>
    <xf numFmtId="168" fontId="0" fillId="0" borderId="0" xfId="0" applyNumberFormat="1" applyFill="1"/>
    <xf numFmtId="43" fontId="0" fillId="0" borderId="1" xfId="1" applyNumberFormat="1" applyFont="1" applyBorder="1" applyAlignment="1">
      <alignment horizontal="center" vertical="center"/>
    </xf>
    <xf numFmtId="43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3" xfId="4" applyNumberFormat="1" applyFont="1" applyBorder="1" applyAlignment="1">
      <alignment horizontal="center" vertical="center"/>
    </xf>
    <xf numFmtId="44" fontId="0" fillId="0" borderId="0" xfId="4" applyNumberFormat="1" applyFont="1"/>
  </cellXfs>
  <cellStyles count="9">
    <cellStyle name="Comma" xfId="1" builtinId="3"/>
    <cellStyle name="Currency" xfId="4" builtinId="4"/>
    <cellStyle name="Normal" xfId="0" builtinId="0"/>
    <cellStyle name="Normal 2" xfId="3"/>
    <cellStyle name="Normal 2 2" xfId="8"/>
    <cellStyle name="Normal 3" xfId="6"/>
    <cellStyle name="Normal 4" xfId="7"/>
    <cellStyle name="Normal_Sheet1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defaultRowHeight="15" x14ac:dyDescent="0.25"/>
  <cols>
    <col min="1" max="1" width="33.5703125" customWidth="1"/>
    <col min="2" max="2" width="11.5703125" bestFit="1" customWidth="1"/>
    <col min="3" max="3" width="11.5703125" customWidth="1"/>
    <col min="7" max="7" width="10.5703125" style="1" bestFit="1" customWidth="1"/>
    <col min="8" max="9" width="9.5703125" style="1" bestFit="1" customWidth="1"/>
  </cols>
  <sheetData>
    <row r="1" spans="1:14" x14ac:dyDescent="0.25">
      <c r="A1" t="s">
        <v>25</v>
      </c>
    </row>
    <row r="4" spans="1:14" x14ac:dyDescent="0.25">
      <c r="D4" s="4">
        <v>2012</v>
      </c>
      <c r="E4" s="4" t="s">
        <v>29</v>
      </c>
    </row>
    <row r="5" spans="1:14" x14ac:dyDescent="0.25">
      <c r="B5" s="4">
        <v>2012</v>
      </c>
      <c r="C5" s="4">
        <v>2011</v>
      </c>
      <c r="D5" s="4" t="s">
        <v>15</v>
      </c>
      <c r="E5" t="s">
        <v>22</v>
      </c>
      <c r="F5" t="s">
        <v>16</v>
      </c>
      <c r="G5" s="9" t="s">
        <v>21</v>
      </c>
      <c r="H5" s="9" t="s">
        <v>22</v>
      </c>
    </row>
    <row r="6" spans="1:14" x14ac:dyDescent="0.25">
      <c r="A6" s="5" t="s">
        <v>11</v>
      </c>
      <c r="B6" s="5" t="s">
        <v>5</v>
      </c>
      <c r="C6" s="5" t="s">
        <v>12</v>
      </c>
      <c r="D6" s="5" t="s">
        <v>18</v>
      </c>
      <c r="E6" s="7" t="s">
        <v>18</v>
      </c>
      <c r="F6" s="7" t="s">
        <v>17</v>
      </c>
      <c r="G6" s="8" t="s">
        <v>23</v>
      </c>
      <c r="H6" s="8" t="s">
        <v>23</v>
      </c>
      <c r="I6" s="8" t="s">
        <v>24</v>
      </c>
    </row>
    <row r="8" spans="1:14" x14ac:dyDescent="0.25">
      <c r="A8" t="s">
        <v>0</v>
      </c>
      <c r="B8" s="14">
        <v>40193</v>
      </c>
      <c r="C8" s="14">
        <v>43726</v>
      </c>
      <c r="D8" s="2">
        <f>+B8+C8</f>
        <v>83919</v>
      </c>
      <c r="E8" s="2"/>
      <c r="F8" s="6"/>
      <c r="J8" s="2"/>
      <c r="K8" s="2"/>
      <c r="L8" s="2"/>
      <c r="M8" s="2"/>
      <c r="N8" s="2"/>
    </row>
    <row r="9" spans="1:14" x14ac:dyDescent="0.25">
      <c r="A9" t="s">
        <v>1</v>
      </c>
      <c r="B9" s="14">
        <v>6693</v>
      </c>
      <c r="C9" s="14">
        <v>1139</v>
      </c>
      <c r="D9" s="2">
        <f t="shared" ref="D9:D13" si="0">+B9+C9</f>
        <v>7832</v>
      </c>
      <c r="E9" s="2"/>
      <c r="F9" s="6"/>
      <c r="J9" s="2"/>
      <c r="K9" s="2"/>
      <c r="L9" s="2"/>
      <c r="M9" s="2"/>
      <c r="N9" s="2"/>
    </row>
    <row r="10" spans="1:14" x14ac:dyDescent="0.25">
      <c r="A10" t="s">
        <v>2</v>
      </c>
      <c r="B10" s="13">
        <f>38767+(1.846992707165*1000)</f>
        <v>40613.992707165002</v>
      </c>
      <c r="C10" s="14">
        <f>61704-10572</f>
        <v>51132</v>
      </c>
      <c r="D10" s="2">
        <f t="shared" si="0"/>
        <v>91745.992707165002</v>
      </c>
      <c r="E10" s="2"/>
      <c r="F10" s="6"/>
      <c r="J10" s="2"/>
      <c r="K10" s="2"/>
      <c r="L10" s="2"/>
      <c r="M10" s="2"/>
      <c r="N10" s="2"/>
    </row>
    <row r="11" spans="1:14" x14ac:dyDescent="0.25">
      <c r="A11" t="s">
        <v>3</v>
      </c>
      <c r="B11" s="14">
        <f>1566</f>
        <v>1566</v>
      </c>
      <c r="C11" s="14">
        <f>20878+309</f>
        <v>21187</v>
      </c>
      <c r="D11" s="2">
        <f t="shared" si="0"/>
        <v>22753</v>
      </c>
      <c r="E11" s="2"/>
      <c r="F11" s="6"/>
      <c r="J11" s="2"/>
      <c r="K11" s="2"/>
      <c r="L11" s="2"/>
      <c r="M11" s="2"/>
      <c r="N11" s="2"/>
    </row>
    <row r="12" spans="1:14" x14ac:dyDescent="0.25">
      <c r="A12" t="s">
        <v>4</v>
      </c>
      <c r="B12" s="14">
        <f>29999</f>
        <v>29999</v>
      </c>
      <c r="C12" s="14">
        <f>32918+2446</f>
        <v>35364</v>
      </c>
      <c r="D12" s="2">
        <f t="shared" si="0"/>
        <v>65363</v>
      </c>
      <c r="E12" s="2"/>
      <c r="F12" s="6"/>
      <c r="J12" s="2"/>
      <c r="K12" s="2"/>
      <c r="L12" s="2"/>
      <c r="M12" s="2"/>
      <c r="N12" s="2"/>
    </row>
    <row r="13" spans="1:14" x14ac:dyDescent="0.25">
      <c r="A13" t="s">
        <v>6</v>
      </c>
      <c r="B13" s="13">
        <f>10379+(0.883*1000)</f>
        <v>11262</v>
      </c>
      <c r="C13" s="2"/>
      <c r="D13" s="2">
        <f t="shared" si="0"/>
        <v>11262</v>
      </c>
      <c r="E13" s="2"/>
      <c r="F13" s="6"/>
      <c r="J13" s="2"/>
      <c r="K13" s="2"/>
      <c r="L13" s="2"/>
      <c r="M13" s="2"/>
      <c r="N13" s="2"/>
    </row>
    <row r="14" spans="1:14" x14ac:dyDescent="0.25">
      <c r="B14" s="2"/>
      <c r="C14" s="2"/>
      <c r="D14" s="2"/>
      <c r="E14" s="2"/>
      <c r="F14" s="2"/>
      <c r="J14" s="2"/>
      <c r="K14" s="2"/>
      <c r="L14" s="2"/>
      <c r="M14" s="2"/>
      <c r="N14" s="2"/>
    </row>
    <row r="15" spans="1:14" x14ac:dyDescent="0.25">
      <c r="A15" t="s">
        <v>9</v>
      </c>
      <c r="B15" s="3">
        <f>SUM(B8:B14)</f>
        <v>130326.992707165</v>
      </c>
      <c r="C15" s="3">
        <f>SUM(C8:C14)</f>
        <v>152548</v>
      </c>
      <c r="D15" s="3">
        <f>SUM(D8:D14)</f>
        <v>282874.99270716502</v>
      </c>
      <c r="E15" s="3">
        <v>522335</v>
      </c>
      <c r="F15" s="10">
        <v>1.3100000000000001E-2</v>
      </c>
      <c r="G15" s="11">
        <f>ROUND(D15*F15,2)</f>
        <v>3705.66</v>
      </c>
      <c r="H15" s="11">
        <f>ROUND(E15*F15,2)</f>
        <v>6842.59</v>
      </c>
      <c r="I15" s="11">
        <f>+G15-H15</f>
        <v>-3136.9300000000003</v>
      </c>
      <c r="J15" s="2"/>
      <c r="K15" s="2"/>
      <c r="L15" s="2"/>
      <c r="M15" s="2"/>
      <c r="N15" s="2"/>
    </row>
    <row r="16" spans="1:14" x14ac:dyDescent="0.25">
      <c r="B16" s="2"/>
      <c r="C16" s="2"/>
      <c r="D16" s="2"/>
      <c r="E16" s="2"/>
      <c r="F16" s="2"/>
      <c r="J16" s="2"/>
      <c r="K16" s="2"/>
      <c r="L16" s="2"/>
      <c r="M16" s="2"/>
      <c r="N16" s="2"/>
    </row>
    <row r="17" spans="1:14" x14ac:dyDescent="0.25">
      <c r="A17" t="s">
        <v>7</v>
      </c>
      <c r="B17" s="13">
        <f>225555+(5.63950025006*1000)</f>
        <v>231194.50025005999</v>
      </c>
      <c r="C17" s="14">
        <f>267169+5137</f>
        <v>272306</v>
      </c>
      <c r="D17" s="2">
        <f t="shared" ref="D17:D20" si="1">+B17+C17</f>
        <v>503500.50025005999</v>
      </c>
      <c r="E17" s="2"/>
      <c r="F17" s="2"/>
      <c r="J17" s="2"/>
      <c r="K17" s="2"/>
      <c r="L17" s="2"/>
      <c r="M17" s="2"/>
      <c r="N17" s="2"/>
    </row>
    <row r="18" spans="1:14" x14ac:dyDescent="0.25">
      <c r="A18" t="s">
        <v>8</v>
      </c>
      <c r="B18" s="13">
        <f>123+(98.12328*1000)</f>
        <v>98246.28</v>
      </c>
      <c r="C18" s="14">
        <f>238332-144547</f>
        <v>93785</v>
      </c>
      <c r="D18" s="2">
        <f t="shared" si="1"/>
        <v>192031.28</v>
      </c>
      <c r="E18" s="2"/>
      <c r="F18" s="2"/>
      <c r="J18" s="2"/>
      <c r="K18" s="2"/>
      <c r="L18" s="2"/>
      <c r="M18" s="2"/>
      <c r="N18" s="2"/>
    </row>
    <row r="19" spans="1:14" x14ac:dyDescent="0.25">
      <c r="A19" t="s">
        <v>13</v>
      </c>
      <c r="B19" s="2"/>
      <c r="C19" s="14">
        <f>7843</f>
        <v>7843</v>
      </c>
      <c r="D19" s="2">
        <f t="shared" si="1"/>
        <v>7843</v>
      </c>
      <c r="E19" s="2"/>
      <c r="F19" s="2"/>
      <c r="J19" s="2"/>
      <c r="K19" s="2"/>
      <c r="L19" s="2"/>
      <c r="M19" s="2"/>
      <c r="N19" s="2"/>
    </row>
    <row r="20" spans="1:14" x14ac:dyDescent="0.25">
      <c r="A20" t="s">
        <v>14</v>
      </c>
      <c r="B20" s="2"/>
      <c r="C20" s="14">
        <f>340676*0.5</f>
        <v>170338</v>
      </c>
      <c r="D20" s="2">
        <f t="shared" si="1"/>
        <v>170338</v>
      </c>
      <c r="E20" s="2"/>
      <c r="F20" s="2"/>
      <c r="J20" s="2"/>
      <c r="K20" s="2"/>
      <c r="L20" s="2"/>
      <c r="M20" s="2"/>
      <c r="N20" s="2"/>
    </row>
    <row r="21" spans="1:14" x14ac:dyDescent="0.25">
      <c r="B21" s="2"/>
      <c r="C21" s="2"/>
      <c r="D21" s="2"/>
      <c r="E21" s="2"/>
      <c r="F21" s="6"/>
      <c r="J21" s="2"/>
      <c r="K21" s="2"/>
      <c r="L21" s="2"/>
      <c r="M21" s="2"/>
      <c r="N21" s="2"/>
    </row>
    <row r="22" spans="1:14" x14ac:dyDescent="0.25">
      <c r="A22" t="s">
        <v>10</v>
      </c>
      <c r="B22" s="3">
        <f>SUM(B17:B21)</f>
        <v>329440.78025006002</v>
      </c>
      <c r="C22" s="3">
        <f>SUM(C17:C21)</f>
        <v>544272</v>
      </c>
      <c r="D22" s="3">
        <f>SUM(D17:D21)</f>
        <v>873712.78025006002</v>
      </c>
      <c r="E22" s="3">
        <v>232046</v>
      </c>
      <c r="F22" s="10">
        <v>8.2000000000000007E-3</v>
      </c>
      <c r="G22" s="11">
        <f>ROUND(D22*F22,2)</f>
        <v>7164.44</v>
      </c>
      <c r="H22" s="11">
        <f>ROUND(E22*F22,2)</f>
        <v>1902.78</v>
      </c>
      <c r="I22" s="11">
        <f>+G22-H22</f>
        <v>5261.66</v>
      </c>
      <c r="J22" s="2"/>
      <c r="K22" s="2"/>
      <c r="L22" s="2"/>
      <c r="M22" s="2"/>
      <c r="N22" s="2"/>
    </row>
    <row r="23" spans="1:14" x14ac:dyDescent="0.25">
      <c r="B23" s="2"/>
      <c r="C23" s="2"/>
      <c r="D23" s="2"/>
      <c r="E23" s="2"/>
      <c r="F23" s="6"/>
      <c r="J23" s="2"/>
      <c r="K23" s="2"/>
      <c r="L23" s="2"/>
      <c r="M23" s="2"/>
      <c r="N23" s="2"/>
    </row>
    <row r="24" spans="1:14" x14ac:dyDescent="0.25">
      <c r="A24" t="s">
        <v>14</v>
      </c>
      <c r="B24" s="14">
        <v>93</v>
      </c>
      <c r="C24" s="14">
        <v>31</v>
      </c>
      <c r="D24" s="2">
        <f>SUM(B24:C24)*12</f>
        <v>1488</v>
      </c>
      <c r="E24" s="2"/>
      <c r="F24" s="6"/>
      <c r="J24" s="2"/>
      <c r="K24" s="2"/>
      <c r="L24" s="2"/>
      <c r="M24" s="2"/>
      <c r="N24" s="2"/>
    </row>
    <row r="25" spans="1:14" x14ac:dyDescent="0.25">
      <c r="B25" s="2"/>
      <c r="C25" s="2"/>
      <c r="D25" s="2"/>
      <c r="E25" s="2"/>
      <c r="F25" s="6"/>
      <c r="J25" s="2"/>
      <c r="K25" s="2"/>
      <c r="L25" s="2"/>
      <c r="M25" s="2"/>
      <c r="N25" s="2"/>
    </row>
    <row r="26" spans="1:14" x14ac:dyDescent="0.25">
      <c r="A26" t="s">
        <v>19</v>
      </c>
      <c r="B26" s="3">
        <f>SUM(B24:B25)</f>
        <v>93</v>
      </c>
      <c r="C26" s="3">
        <f t="shared" ref="C26:D26" si="2">SUM(C24:C25)</f>
        <v>31</v>
      </c>
      <c r="D26" s="3">
        <f t="shared" si="2"/>
        <v>1488</v>
      </c>
      <c r="E26" s="3">
        <v>631</v>
      </c>
      <c r="F26" s="10">
        <v>1.5688</v>
      </c>
      <c r="G26" s="11">
        <f>ROUND(D26*F26,2)</f>
        <v>2334.37</v>
      </c>
      <c r="H26" s="11">
        <f>ROUND(E26*F26,2)</f>
        <v>989.91</v>
      </c>
      <c r="I26" s="11">
        <f>+G26-H26</f>
        <v>1344.46</v>
      </c>
      <c r="J26" s="2"/>
      <c r="K26" s="2"/>
      <c r="L26" s="2"/>
      <c r="M26" s="2"/>
      <c r="N26" s="2"/>
    </row>
    <row r="27" spans="1:14" x14ac:dyDescent="0.25">
      <c r="B27" s="2"/>
      <c r="C27" s="2"/>
      <c r="D27" s="2"/>
      <c r="E27" s="2"/>
      <c r="F27" s="6"/>
      <c r="J27" s="2"/>
      <c r="K27" s="2"/>
      <c r="L27" s="2"/>
      <c r="M27" s="2"/>
      <c r="N27" s="2"/>
    </row>
    <row r="28" spans="1:14" ht="15.75" thickBot="1" x14ac:dyDescent="0.3">
      <c r="A28" t="s">
        <v>20</v>
      </c>
      <c r="B28" s="2"/>
      <c r="C28" s="2"/>
      <c r="D28" s="2"/>
      <c r="E28" s="2"/>
      <c r="F28" s="6"/>
      <c r="G28" s="12">
        <f>SUM(G15:G27)</f>
        <v>13204.469999999998</v>
      </c>
      <c r="H28" s="12">
        <f>SUM(H15:H27)</f>
        <v>9735.2800000000007</v>
      </c>
      <c r="I28" s="12">
        <f>SUM(I15:I27)</f>
        <v>3469.1899999999996</v>
      </c>
      <c r="J28" s="2"/>
      <c r="K28" s="2"/>
      <c r="L28" s="2"/>
      <c r="M28" s="2"/>
      <c r="N28" s="2"/>
    </row>
    <row r="29" spans="1:14" ht="15.75" thickTop="1" x14ac:dyDescent="0.25">
      <c r="B29" s="2"/>
      <c r="C29" s="2"/>
      <c r="D29" s="2"/>
      <c r="E29" s="2"/>
      <c r="F29" s="2"/>
      <c r="J29" s="2"/>
      <c r="K29" s="2"/>
      <c r="L29" s="2"/>
      <c r="M29" s="2"/>
      <c r="N29" s="2"/>
    </row>
    <row r="30" spans="1:14" x14ac:dyDescent="0.25">
      <c r="B30" s="2"/>
      <c r="C30" s="2"/>
      <c r="D30" s="2"/>
      <c r="E30" s="2"/>
      <c r="F30" s="2"/>
      <c r="J30" s="2"/>
      <c r="K30" s="2"/>
      <c r="L30" s="2"/>
      <c r="M30" s="2"/>
      <c r="N30" s="2"/>
    </row>
    <row r="31" spans="1:14" x14ac:dyDescent="0.25">
      <c r="B31" s="2"/>
      <c r="C31" s="2"/>
      <c r="D31" s="2"/>
      <c r="E31" s="2"/>
      <c r="F31" s="2"/>
      <c r="J31" s="2"/>
      <c r="K31" s="2"/>
      <c r="L31" s="2"/>
      <c r="M31" s="2"/>
      <c r="N31" s="2"/>
    </row>
    <row r="32" spans="1:14" x14ac:dyDescent="0.25">
      <c r="B32" s="2"/>
      <c r="C32" s="2"/>
      <c r="D32" s="2"/>
      <c r="E32" s="2"/>
      <c r="F32" s="2"/>
      <c r="J32" s="2"/>
      <c r="K32" s="2"/>
      <c r="L32" s="2"/>
      <c r="M32" s="2"/>
      <c r="N32" s="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/>
  </sheetViews>
  <sheetFormatPr defaultRowHeight="15" x14ac:dyDescent="0.25"/>
  <cols>
    <col min="1" max="1" width="33.5703125" customWidth="1"/>
    <col min="2" max="2" width="12.28515625" customWidth="1"/>
    <col min="3" max="3" width="11.5703125" bestFit="1" customWidth="1"/>
    <col min="4" max="4" width="11.5703125" customWidth="1"/>
    <col min="5" max="5" width="10.5703125" bestFit="1" customWidth="1"/>
    <col min="8" max="9" width="10.5703125" style="1" bestFit="1" customWidth="1"/>
    <col min="10" max="10" width="9.5703125" style="1" bestFit="1" customWidth="1"/>
  </cols>
  <sheetData>
    <row r="1" spans="1:15" x14ac:dyDescent="0.25">
      <c r="A1" t="s">
        <v>26</v>
      </c>
    </row>
    <row r="4" spans="1:15" x14ac:dyDescent="0.25">
      <c r="E4" s="4">
        <v>2013</v>
      </c>
    </row>
    <row r="5" spans="1:15" x14ac:dyDescent="0.25">
      <c r="B5" s="4">
        <v>2013</v>
      </c>
      <c r="C5" s="4">
        <v>2012</v>
      </c>
      <c r="D5" s="4">
        <v>2011</v>
      </c>
      <c r="E5" s="4" t="s">
        <v>15</v>
      </c>
      <c r="F5" t="s">
        <v>22</v>
      </c>
      <c r="G5" t="s">
        <v>16</v>
      </c>
      <c r="H5" s="9" t="s">
        <v>21</v>
      </c>
      <c r="I5" s="9" t="s">
        <v>22</v>
      </c>
    </row>
    <row r="6" spans="1:15" x14ac:dyDescent="0.25">
      <c r="A6" s="5" t="s">
        <v>11</v>
      </c>
      <c r="B6" s="5" t="s">
        <v>5</v>
      </c>
      <c r="C6" s="5" t="s">
        <v>12</v>
      </c>
      <c r="D6" s="5" t="s">
        <v>12</v>
      </c>
      <c r="E6" s="5" t="s">
        <v>18</v>
      </c>
      <c r="F6" s="7" t="s">
        <v>18</v>
      </c>
      <c r="G6" s="7" t="s">
        <v>17</v>
      </c>
      <c r="H6" s="8" t="s">
        <v>23</v>
      </c>
      <c r="I6" s="8" t="s">
        <v>23</v>
      </c>
      <c r="J6" s="8" t="s">
        <v>24</v>
      </c>
    </row>
    <row r="8" spans="1:15" x14ac:dyDescent="0.25">
      <c r="A8" t="s">
        <v>0</v>
      </c>
      <c r="B8" s="14">
        <f>29521</f>
        <v>29521</v>
      </c>
      <c r="C8" s="2">
        <v>40193</v>
      </c>
      <c r="D8" s="2">
        <v>43726</v>
      </c>
      <c r="E8" s="2">
        <f>SUM(B8:D8)</f>
        <v>113440</v>
      </c>
      <c r="F8" s="2"/>
      <c r="G8" s="6"/>
      <c r="K8" s="2"/>
      <c r="L8" s="2"/>
      <c r="M8" s="2"/>
      <c r="N8" s="2"/>
      <c r="O8" s="2"/>
    </row>
    <row r="9" spans="1:15" x14ac:dyDescent="0.25">
      <c r="A9" t="s">
        <v>1</v>
      </c>
      <c r="B9" s="14">
        <f>369</f>
        <v>369</v>
      </c>
      <c r="C9" s="2">
        <v>6693</v>
      </c>
      <c r="D9" s="2">
        <v>1139</v>
      </c>
      <c r="E9" s="2">
        <f t="shared" ref="E9:E13" si="0">SUM(B9:D9)</f>
        <v>8201</v>
      </c>
      <c r="F9" s="2"/>
      <c r="G9" s="6"/>
      <c r="K9" s="2"/>
      <c r="L9" s="2"/>
      <c r="M9" s="2"/>
      <c r="N9" s="2"/>
      <c r="O9" s="2"/>
    </row>
    <row r="10" spans="1:15" x14ac:dyDescent="0.25">
      <c r="A10" t="s">
        <v>2</v>
      </c>
      <c r="B10" s="13">
        <f>47984+(1.6500041294*1000)</f>
        <v>49634.004129399997</v>
      </c>
      <c r="C10" s="2">
        <f>38767+1856</f>
        <v>40623</v>
      </c>
      <c r="D10" s="2">
        <v>61704</v>
      </c>
      <c r="E10" s="2">
        <f t="shared" si="0"/>
        <v>151961.00412940001</v>
      </c>
      <c r="F10" s="2"/>
      <c r="G10" s="6"/>
      <c r="K10" s="2"/>
      <c r="L10" s="2"/>
      <c r="M10" s="2"/>
      <c r="N10" s="2"/>
      <c r="O10" s="2"/>
    </row>
    <row r="11" spans="1:15" x14ac:dyDescent="0.25">
      <c r="A11" t="s">
        <v>3</v>
      </c>
      <c r="B11" s="13">
        <f>(0.026*1000)+(8.633470282455*1000)</f>
        <v>8659.4702824550004</v>
      </c>
      <c r="C11" s="2">
        <v>1566</v>
      </c>
      <c r="D11" s="2">
        <v>20878</v>
      </c>
      <c r="E11" s="2">
        <f t="shared" si="0"/>
        <v>31103.470282455</v>
      </c>
      <c r="F11" s="2"/>
      <c r="G11" s="6"/>
      <c r="K11" s="2"/>
      <c r="L11" s="2"/>
      <c r="M11" s="2"/>
      <c r="N11" s="2"/>
      <c r="O11" s="2"/>
    </row>
    <row r="12" spans="1:15" x14ac:dyDescent="0.25">
      <c r="A12" t="s">
        <v>4</v>
      </c>
      <c r="B12" s="14">
        <f>19244</f>
        <v>19244</v>
      </c>
      <c r="C12" s="2">
        <v>29999</v>
      </c>
      <c r="D12" s="2">
        <v>32918</v>
      </c>
      <c r="E12" s="2">
        <f t="shared" si="0"/>
        <v>82161</v>
      </c>
      <c r="F12" s="2"/>
      <c r="G12" s="6"/>
      <c r="K12" s="2"/>
      <c r="L12" s="2"/>
      <c r="M12" s="2"/>
      <c r="N12" s="2"/>
      <c r="O12" s="2"/>
    </row>
    <row r="13" spans="1:15" x14ac:dyDescent="0.25">
      <c r="A13" t="s">
        <v>6</v>
      </c>
      <c r="B13" s="13">
        <f>33346+(7.997625122*1000)</f>
        <v>41343.625121999998</v>
      </c>
      <c r="C13" s="2">
        <f>10379+883</f>
        <v>11262</v>
      </c>
      <c r="D13" s="2"/>
      <c r="E13" s="2">
        <f t="shared" si="0"/>
        <v>52605.625121999998</v>
      </c>
      <c r="F13" s="2"/>
      <c r="G13" s="6"/>
      <c r="K13" s="2"/>
      <c r="L13" s="2"/>
      <c r="M13" s="2"/>
      <c r="N13" s="2"/>
      <c r="O13" s="2"/>
    </row>
    <row r="14" spans="1:15" x14ac:dyDescent="0.25">
      <c r="B14" s="2"/>
      <c r="C14" s="2"/>
      <c r="D14" s="2"/>
      <c r="E14" s="2"/>
      <c r="F14" s="2"/>
      <c r="G14" s="2"/>
      <c r="K14" s="2"/>
      <c r="L14" s="2"/>
      <c r="M14" s="2"/>
      <c r="N14" s="2"/>
      <c r="O14" s="2"/>
    </row>
    <row r="15" spans="1:15" x14ac:dyDescent="0.25">
      <c r="A15" t="s">
        <v>9</v>
      </c>
      <c r="B15" s="3">
        <f>SUM(B8:B14)</f>
        <v>148771.09953385498</v>
      </c>
      <c r="C15" s="3">
        <f>SUM(C8:C14)</f>
        <v>130336</v>
      </c>
      <c r="D15" s="3">
        <f>SUM(D8:D14)</f>
        <v>160365</v>
      </c>
      <c r="E15" s="3">
        <f>SUM(E8:E14)</f>
        <v>439472.09953385498</v>
      </c>
      <c r="F15" s="3">
        <v>522335</v>
      </c>
      <c r="G15" s="10">
        <v>1.46E-2</v>
      </c>
      <c r="H15" s="11">
        <f>ROUND(E15*G15,2)</f>
        <v>6416.29</v>
      </c>
      <c r="I15" s="11">
        <f>ROUND(F15*G15,2)</f>
        <v>7626.09</v>
      </c>
      <c r="J15" s="11">
        <f>+H15-I15</f>
        <v>-1209.8000000000002</v>
      </c>
      <c r="K15" s="2"/>
      <c r="L15" s="2"/>
      <c r="M15" s="2"/>
      <c r="N15" s="2"/>
      <c r="O15" s="2"/>
    </row>
    <row r="16" spans="1:15" x14ac:dyDescent="0.25">
      <c r="B16" s="2"/>
      <c r="C16" s="2"/>
      <c r="D16" s="2"/>
      <c r="E16" s="2"/>
      <c r="F16" s="2"/>
      <c r="G16" s="2"/>
      <c r="K16" s="2"/>
      <c r="L16" s="2"/>
      <c r="M16" s="2"/>
      <c r="N16" s="2"/>
      <c r="O16" s="2"/>
    </row>
    <row r="17" spans="1:15" x14ac:dyDescent="0.25">
      <c r="A17" t="s">
        <v>7</v>
      </c>
      <c r="B17" s="2">
        <f>11130</f>
        <v>11130</v>
      </c>
      <c r="C17" s="2">
        <f>225555+5137</f>
        <v>230692</v>
      </c>
      <c r="D17" s="2">
        <v>267169</v>
      </c>
      <c r="E17" s="2">
        <f t="shared" ref="E17:E20" si="1">SUM(B17:D17)</f>
        <v>508991</v>
      </c>
      <c r="F17" s="2"/>
      <c r="G17" s="2"/>
      <c r="K17" s="2"/>
      <c r="L17" s="2"/>
      <c r="M17" s="2"/>
      <c r="N17" s="2"/>
      <c r="O17" s="2"/>
    </row>
    <row r="18" spans="1:15" x14ac:dyDescent="0.25">
      <c r="A18" t="s">
        <v>8</v>
      </c>
      <c r="B18" s="2"/>
      <c r="C18" s="2">
        <f>123-144547</f>
        <v>-144424</v>
      </c>
      <c r="D18" s="2">
        <v>238332</v>
      </c>
      <c r="E18" s="2">
        <f t="shared" si="1"/>
        <v>93908</v>
      </c>
      <c r="F18" s="2"/>
      <c r="G18" s="2"/>
      <c r="K18" s="2"/>
      <c r="L18" s="2"/>
      <c r="M18" s="2"/>
      <c r="N18" s="2"/>
      <c r="O18" s="2"/>
    </row>
    <row r="19" spans="1:15" x14ac:dyDescent="0.25">
      <c r="A19" t="s">
        <v>13</v>
      </c>
      <c r="B19" s="2"/>
      <c r="C19" s="2"/>
      <c r="D19" s="2">
        <f>7843</f>
        <v>7843</v>
      </c>
      <c r="E19" s="2">
        <f t="shared" si="1"/>
        <v>7843</v>
      </c>
      <c r="F19" s="2"/>
      <c r="G19" s="2"/>
      <c r="K19" s="2"/>
      <c r="L19" s="2"/>
      <c r="M19" s="2"/>
      <c r="N19" s="2"/>
      <c r="O19" s="2"/>
    </row>
    <row r="20" spans="1:15" x14ac:dyDescent="0.25">
      <c r="A20" t="s">
        <v>14</v>
      </c>
      <c r="B20" s="2">
        <v>29469</v>
      </c>
      <c r="C20" s="2"/>
      <c r="D20" s="2">
        <f>340676*0.5</f>
        <v>170338</v>
      </c>
      <c r="E20" s="2">
        <f t="shared" si="1"/>
        <v>199807</v>
      </c>
      <c r="F20" s="2"/>
      <c r="G20" s="2"/>
      <c r="K20" s="2"/>
      <c r="L20" s="2"/>
      <c r="M20" s="2"/>
      <c r="N20" s="2"/>
      <c r="O20" s="2"/>
    </row>
    <row r="21" spans="1:15" x14ac:dyDescent="0.25">
      <c r="B21" s="2"/>
      <c r="C21" s="2"/>
      <c r="D21" s="2"/>
      <c r="E21" s="2"/>
      <c r="F21" s="2"/>
      <c r="G21" s="6"/>
      <c r="K21" s="2"/>
      <c r="L21" s="2"/>
      <c r="M21" s="2"/>
      <c r="N21" s="2"/>
      <c r="O21" s="2"/>
    </row>
    <row r="22" spans="1:15" x14ac:dyDescent="0.25">
      <c r="A22" t="s">
        <v>10</v>
      </c>
      <c r="B22" s="3">
        <f>SUM(B17:B21)</f>
        <v>40599</v>
      </c>
      <c r="C22" s="3">
        <f>SUM(C17:C21)</f>
        <v>86268</v>
      </c>
      <c r="D22" s="3">
        <f>SUM(D17:D21)</f>
        <v>683682</v>
      </c>
      <c r="E22" s="3">
        <f>SUM(E17:E21)</f>
        <v>810549</v>
      </c>
      <c r="F22" s="3">
        <v>232046</v>
      </c>
      <c r="G22" s="10">
        <v>8.9999999999999993E-3</v>
      </c>
      <c r="H22" s="11">
        <f>ROUND(E22*G22,2)</f>
        <v>7294.94</v>
      </c>
      <c r="I22" s="11">
        <f>ROUND(F22*G22,2)</f>
        <v>2088.41</v>
      </c>
      <c r="J22" s="11">
        <f>+H22-I22</f>
        <v>5206.53</v>
      </c>
      <c r="K22" s="2"/>
      <c r="L22" s="2"/>
      <c r="M22" s="2"/>
      <c r="N22" s="2"/>
      <c r="O22" s="2"/>
    </row>
    <row r="23" spans="1:15" x14ac:dyDescent="0.25">
      <c r="B23" s="2"/>
      <c r="C23" s="2"/>
      <c r="D23" s="2"/>
      <c r="E23" s="2"/>
      <c r="F23" s="2"/>
      <c r="G23" s="6"/>
      <c r="K23" s="2"/>
      <c r="L23" s="2"/>
      <c r="M23" s="2"/>
      <c r="N23" s="2"/>
      <c r="O23" s="2"/>
    </row>
    <row r="24" spans="1:15" x14ac:dyDescent="0.25">
      <c r="A24" t="s">
        <v>14</v>
      </c>
      <c r="B24" s="2">
        <v>15.81</v>
      </c>
      <c r="C24" s="2">
        <v>93</v>
      </c>
      <c r="D24" s="2">
        <v>31</v>
      </c>
      <c r="E24" s="2">
        <f>SUM(B24:D24)*12</f>
        <v>1677.72</v>
      </c>
      <c r="F24" s="2"/>
      <c r="G24" s="6"/>
      <c r="K24" s="2"/>
      <c r="L24" s="2"/>
      <c r="M24" s="2"/>
      <c r="N24" s="2"/>
      <c r="O24" s="2"/>
    </row>
    <row r="25" spans="1:15" x14ac:dyDescent="0.25">
      <c r="A25" t="s">
        <v>27</v>
      </c>
      <c r="B25" s="2"/>
      <c r="C25" s="2"/>
      <c r="D25" s="2"/>
      <c r="E25" s="2">
        <f>SUM(B25:D25)*12</f>
        <v>0</v>
      </c>
      <c r="F25" s="2"/>
      <c r="G25" s="6"/>
      <c r="K25" s="2"/>
      <c r="L25" s="2"/>
      <c r="M25" s="2"/>
      <c r="N25" s="2"/>
      <c r="O25" s="2"/>
    </row>
    <row r="26" spans="1:15" x14ac:dyDescent="0.25">
      <c r="B26" s="2"/>
      <c r="C26" s="2"/>
      <c r="D26" s="2"/>
      <c r="E26" s="2"/>
      <c r="F26" s="2"/>
      <c r="G26" s="6"/>
      <c r="K26" s="2"/>
      <c r="L26" s="2"/>
      <c r="M26" s="2"/>
      <c r="N26" s="2"/>
      <c r="O26" s="2"/>
    </row>
    <row r="27" spans="1:15" x14ac:dyDescent="0.25">
      <c r="A27" t="s">
        <v>19</v>
      </c>
      <c r="B27" s="3">
        <f>SUM(B24:B26)</f>
        <v>15.81</v>
      </c>
      <c r="C27" s="3">
        <f>SUM(C24:C26)</f>
        <v>93</v>
      </c>
      <c r="D27" s="3">
        <f t="shared" ref="D27:E27" si="2">SUM(D24:D26)</f>
        <v>31</v>
      </c>
      <c r="E27" s="3">
        <f t="shared" si="2"/>
        <v>1677.72</v>
      </c>
      <c r="F27" s="3">
        <v>631</v>
      </c>
      <c r="G27" s="10">
        <v>1.8963000000000001</v>
      </c>
      <c r="H27" s="11">
        <f>ROUND(E27*G27,2)</f>
        <v>3181.46</v>
      </c>
      <c r="I27" s="11">
        <f>ROUND(F27*G27,2)</f>
        <v>1196.57</v>
      </c>
      <c r="J27" s="11">
        <f>+H27-I27</f>
        <v>1984.89</v>
      </c>
      <c r="K27" s="2"/>
      <c r="L27" s="2"/>
      <c r="M27" s="2"/>
      <c r="N27" s="2"/>
      <c r="O27" s="2"/>
    </row>
    <row r="28" spans="1:15" x14ac:dyDescent="0.25">
      <c r="B28" s="2"/>
      <c r="C28" s="2"/>
      <c r="D28" s="2"/>
      <c r="E28" s="2"/>
      <c r="F28" s="2"/>
      <c r="G28" s="6"/>
      <c r="K28" s="2"/>
      <c r="L28" s="2"/>
      <c r="M28" s="2"/>
      <c r="N28" s="2"/>
      <c r="O28" s="2"/>
    </row>
    <row r="29" spans="1:15" ht="15.75" thickBot="1" x14ac:dyDescent="0.3">
      <c r="A29" t="s">
        <v>20</v>
      </c>
      <c r="B29" s="2"/>
      <c r="C29" s="2"/>
      <c r="D29" s="2"/>
      <c r="E29" s="2"/>
      <c r="F29" s="2"/>
      <c r="G29" s="6"/>
      <c r="H29" s="12">
        <f>SUM(H15:H28)</f>
        <v>16892.689999999999</v>
      </c>
      <c r="I29" s="12">
        <f>SUM(I15:I28)</f>
        <v>10911.07</v>
      </c>
      <c r="J29" s="12">
        <f>SUM(J15:J28)</f>
        <v>5981.62</v>
      </c>
      <c r="K29" s="2"/>
      <c r="L29" s="2"/>
      <c r="M29" s="2"/>
      <c r="N29" s="2"/>
      <c r="O29" s="2"/>
    </row>
    <row r="30" spans="1:15" ht="15.75" thickTop="1" x14ac:dyDescent="0.25">
      <c r="B30" s="2"/>
      <c r="C30" s="2"/>
      <c r="D30" s="2"/>
      <c r="E30" s="2"/>
      <c r="F30" s="2"/>
      <c r="G30" s="2"/>
      <c r="K30" s="2"/>
      <c r="L30" s="2"/>
      <c r="M30" s="2"/>
      <c r="N30" s="2"/>
      <c r="O30" s="2"/>
    </row>
    <row r="31" spans="1:15" x14ac:dyDescent="0.25">
      <c r="B31" s="2"/>
      <c r="C31" s="2"/>
      <c r="D31" s="2"/>
      <c r="E31" s="2"/>
      <c r="F31" s="2"/>
      <c r="G31" s="2"/>
      <c r="K31" s="2"/>
      <c r="L31" s="2"/>
      <c r="M31" s="2"/>
      <c r="N31" s="2"/>
      <c r="O31" s="2"/>
    </row>
    <row r="32" spans="1:15" x14ac:dyDescent="0.25">
      <c r="B32" s="2"/>
      <c r="C32" s="2"/>
      <c r="D32" s="2"/>
      <c r="E32" s="2"/>
      <c r="F32" s="2"/>
      <c r="G32" s="2"/>
      <c r="K32" s="2"/>
      <c r="L32" s="2"/>
      <c r="M32" s="2"/>
      <c r="N32" s="2"/>
      <c r="O32" s="2"/>
    </row>
    <row r="33" spans="3:15" x14ac:dyDescent="0.25">
      <c r="C33" s="2"/>
      <c r="D33" s="2"/>
      <c r="E33" s="2"/>
      <c r="F33" s="2"/>
      <c r="G33" s="2"/>
      <c r="K33" s="2"/>
      <c r="L33" s="2"/>
      <c r="M33" s="2"/>
      <c r="N33" s="2"/>
      <c r="O3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workbookViewId="0">
      <selection activeCell="G74" sqref="G74"/>
    </sheetView>
  </sheetViews>
  <sheetFormatPr defaultRowHeight="15" x14ac:dyDescent="0.25"/>
  <cols>
    <col min="1" max="1" width="33.5703125" customWidth="1"/>
    <col min="2" max="14" width="13.7109375" customWidth="1"/>
    <col min="15" max="17" width="13.7109375" style="1" customWidth="1"/>
    <col min="21" max="21" width="10.42578125" bestFit="1" customWidth="1"/>
  </cols>
  <sheetData>
    <row r="1" spans="1:21" x14ac:dyDescent="0.25">
      <c r="A1" t="s">
        <v>28</v>
      </c>
    </row>
    <row r="2" spans="1:21" x14ac:dyDescent="0.25">
      <c r="A2">
        <f ca="1">_xlfn.NUMBERVALUE(MID(CELL("filename",A1),FIND("]",CELL("filename",A1))+1,255))</f>
        <v>2012</v>
      </c>
    </row>
    <row r="4" spans="1:21" x14ac:dyDescent="0.25">
      <c r="L4" s="4">
        <f ca="1">A2</f>
        <v>2012</v>
      </c>
    </row>
    <row r="5" spans="1:21" x14ac:dyDescent="0.25">
      <c r="B5" s="4">
        <v>2011</v>
      </c>
      <c r="C5" s="4">
        <f>B5+1</f>
        <v>2012</v>
      </c>
      <c r="D5" s="4">
        <f>C5+1</f>
        <v>2013</v>
      </c>
      <c r="E5" s="4">
        <f t="shared" ref="E5:K5" si="0">D5+1</f>
        <v>2014</v>
      </c>
      <c r="F5" s="4">
        <f t="shared" si="0"/>
        <v>2015</v>
      </c>
      <c r="G5" s="4">
        <f t="shared" si="0"/>
        <v>2016</v>
      </c>
      <c r="H5" s="4">
        <f t="shared" si="0"/>
        <v>2017</v>
      </c>
      <c r="I5" s="4">
        <f t="shared" si="0"/>
        <v>2018</v>
      </c>
      <c r="J5" s="4">
        <f t="shared" si="0"/>
        <v>2019</v>
      </c>
      <c r="K5" s="4">
        <f t="shared" si="0"/>
        <v>2020</v>
      </c>
      <c r="L5" s="4" t="s">
        <v>15</v>
      </c>
      <c r="M5" t="s">
        <v>22</v>
      </c>
      <c r="N5" t="s">
        <v>16</v>
      </c>
      <c r="O5" s="9" t="s">
        <v>21</v>
      </c>
      <c r="P5" s="9" t="s">
        <v>22</v>
      </c>
    </row>
    <row r="6" spans="1:21" x14ac:dyDescent="0.25">
      <c r="A6" s="5" t="s">
        <v>11</v>
      </c>
      <c r="B6" s="5" t="str">
        <f ca="1">IF(B5&lt;$A$2,"Persistance",IF(B5=$A$2,"Current","N/A"))</f>
        <v>Persistance</v>
      </c>
      <c r="C6" s="5" t="str">
        <f t="shared" ref="C6:K6" ca="1" si="1">IF(C5&lt;$A$2,"Persistance",IF(C5=$A$2,"Current","N/A"))</f>
        <v>Current</v>
      </c>
      <c r="D6" s="5" t="str">
        <f t="shared" ca="1" si="1"/>
        <v>N/A</v>
      </c>
      <c r="E6" s="5" t="str">
        <f t="shared" ca="1" si="1"/>
        <v>N/A</v>
      </c>
      <c r="F6" s="5" t="str">
        <f t="shared" ca="1" si="1"/>
        <v>N/A</v>
      </c>
      <c r="G6" s="5" t="str">
        <f t="shared" ca="1" si="1"/>
        <v>N/A</v>
      </c>
      <c r="H6" s="5" t="str">
        <f t="shared" ca="1" si="1"/>
        <v>N/A</v>
      </c>
      <c r="I6" s="5" t="str">
        <f t="shared" ca="1" si="1"/>
        <v>N/A</v>
      </c>
      <c r="J6" s="5" t="str">
        <f t="shared" ca="1" si="1"/>
        <v>N/A</v>
      </c>
      <c r="K6" s="5" t="str">
        <f t="shared" ca="1" si="1"/>
        <v>N/A</v>
      </c>
      <c r="L6" s="5" t="s">
        <v>18</v>
      </c>
      <c r="M6" s="7" t="s">
        <v>18</v>
      </c>
      <c r="N6" s="7" t="s">
        <v>17</v>
      </c>
      <c r="O6" s="8" t="s">
        <v>23</v>
      </c>
      <c r="P6" s="8" t="s">
        <v>23</v>
      </c>
      <c r="Q6" s="8" t="s">
        <v>24</v>
      </c>
    </row>
    <row r="8" spans="1:21" x14ac:dyDescent="0.25">
      <c r="A8" t="s">
        <v>68</v>
      </c>
      <c r="B8" s="51">
        <f ca="1">SUMIFS(OFFSET(Persistance!$K:$K,0,$A$2-Persistance!$K$1),Persistance!$B:$B,$A8,Persistance!$D:$D,B$5,Persistance!$A:$A,"Consumer")*1000</f>
        <v>0</v>
      </c>
      <c r="C8" s="51">
        <f ca="1">SUMIFS(OFFSET(Persistance!$K:$K,0,$A$2-Persistance!$K$1),Persistance!$B:$B,$A8,Persistance!$D:$D,C$5,Persistance!$A:$A,"Consumer")*1000</f>
        <v>0</v>
      </c>
      <c r="D8" s="51">
        <f ca="1">SUMIFS(OFFSET(Persistance!$K:$K,0,$A$2-Persistance!$K$1),Persistance!$B:$B,$A8,Persistance!$D:$D,D$5,Persistance!$A:$A,"Consumer")*1000</f>
        <v>0</v>
      </c>
      <c r="E8" s="51">
        <f ca="1">SUMIFS(OFFSET(Persistance!$K:$K,0,$A$2-Persistance!$K$1),Persistance!$B:$B,$A8,Persistance!$D:$D,E$5,Persistance!$A:$A,"Consumer")*1000</f>
        <v>0</v>
      </c>
      <c r="F8" s="51">
        <f ca="1">SUMIFS(OFFSET(Persistance!$K:$K,0,$A$2-Persistance!$K$1),Persistance!$B:$B,$A8,Persistance!$D:$D,F$5,Persistance!$A:$A,"Consumer")*1000</f>
        <v>0</v>
      </c>
      <c r="G8" s="51">
        <f ca="1">SUMIFS(OFFSET(Persistance!$K:$K,0,$A$2-Persistance!$K$1),Persistance!$B:$B,$A8,Persistance!$D:$D,G$5,Persistance!$A:$A,"Consumer")*1000</f>
        <v>0</v>
      </c>
      <c r="H8" s="51">
        <f ca="1">SUMIFS(OFFSET(Persistance!$K:$K,0,$A$2-Persistance!$K$1),Persistance!$B:$B,$A8,Persistance!$D:$D,H$5,Persistance!$A:$A,"Consumer")*1000</f>
        <v>0</v>
      </c>
      <c r="I8" s="51">
        <f ca="1">SUMIFS(OFFSET(Persistance!$K:$K,0,$A$2-Persistance!$K$1),Persistance!$B:$B,$A8,Persistance!$D:$D,I$5,Persistance!$A:$A,"Consumer")*1000</f>
        <v>0</v>
      </c>
      <c r="J8" s="51">
        <f ca="1">SUMIFS(OFFSET(Persistance!$K:$K,0,$A$2-Persistance!$K$1),Persistance!$B:$B,$A8,Persistance!$D:$D,J$5,Persistance!$A:$A,"Consumer")*1000</f>
        <v>0</v>
      </c>
      <c r="K8" s="51">
        <f ca="1">SUMIFS(OFFSET(Persistance!$K:$K,0,$A$2-Persistance!$K$1),Persistance!$B:$B,$A8,Persistance!$D:$D,K$5,Persistance!$A:$A,"Consumer")*1000</f>
        <v>0</v>
      </c>
      <c r="L8" s="34">
        <f ca="1">SUM(B8:K8)</f>
        <v>0</v>
      </c>
      <c r="M8" s="34"/>
      <c r="N8" s="35"/>
      <c r="O8" s="36"/>
      <c r="P8" s="36"/>
      <c r="Q8" s="36"/>
      <c r="R8" s="2"/>
      <c r="U8" s="2"/>
    </row>
    <row r="9" spans="1:21" x14ac:dyDescent="0.25">
      <c r="A9" t="s">
        <v>74</v>
      </c>
      <c r="B9" s="51">
        <f ca="1">SUMIFS(OFFSET(Persistance!$K:$K,0,$A$2-Persistance!$K$1),Persistance!$B:$B,$A9,Persistance!$D:$D,B$5,Persistance!$A:$A,"Consumer")*1000</f>
        <v>0</v>
      </c>
      <c r="C9" s="51">
        <f ca="1">SUMIFS(OFFSET(Persistance!$K:$K,0,$A$2-Persistance!$K$1),Persistance!$B:$B,$A9,Persistance!$D:$D,C$5,Persistance!$A:$A,"Consumer")*1000</f>
        <v>0</v>
      </c>
      <c r="D9" s="51">
        <f ca="1">SUMIFS(OFFSET(Persistance!$K:$K,0,$A$2-Persistance!$K$1),Persistance!$B:$B,$A9,Persistance!$D:$D,D$5,Persistance!$A:$A,"Consumer")*1000</f>
        <v>0</v>
      </c>
      <c r="E9" s="51">
        <f ca="1">SUMIFS(OFFSET(Persistance!$K:$K,0,$A$2-Persistance!$K$1),Persistance!$B:$B,$A9,Persistance!$D:$D,E$5,Persistance!$A:$A,"Consumer")*1000</f>
        <v>0</v>
      </c>
      <c r="F9" s="51">
        <f ca="1">SUMIFS(OFFSET(Persistance!$K:$K,0,$A$2-Persistance!$K$1),Persistance!$B:$B,$A9,Persistance!$D:$D,F$5,Persistance!$A:$A,"Consumer")*1000</f>
        <v>0</v>
      </c>
      <c r="G9" s="51">
        <f ca="1">SUMIFS(OFFSET(Persistance!$K:$K,0,$A$2-Persistance!$K$1),Persistance!$B:$B,$A9,Persistance!$D:$D,G$5,Persistance!$A:$A,"Consumer")*1000</f>
        <v>0</v>
      </c>
      <c r="H9" s="51">
        <f ca="1">SUMIFS(OFFSET(Persistance!$K:$K,0,$A$2-Persistance!$K$1),Persistance!$B:$B,$A9,Persistance!$D:$D,H$5,Persistance!$A:$A,"Consumer")*1000</f>
        <v>0</v>
      </c>
      <c r="I9" s="51">
        <f ca="1">SUMIFS(OFFSET(Persistance!$K:$K,0,$A$2-Persistance!$K$1),Persistance!$B:$B,$A9,Persistance!$D:$D,I$5,Persistance!$A:$A,"Consumer")*1000</f>
        <v>0</v>
      </c>
      <c r="J9" s="51">
        <f ca="1">SUMIFS(OFFSET(Persistance!$K:$K,0,$A$2-Persistance!$K$1),Persistance!$B:$B,$A9,Persistance!$D:$D,J$5,Persistance!$A:$A,"Consumer")*1000</f>
        <v>0</v>
      </c>
      <c r="K9" s="51">
        <f ca="1">SUMIFS(OFFSET(Persistance!$K:$K,0,$A$2-Persistance!$K$1),Persistance!$B:$B,$A9,Persistance!$D:$D,K$5,Persistance!$A:$A,"Consumer")*1000</f>
        <v>0</v>
      </c>
      <c r="L9" s="34">
        <f t="shared" ref="L9:L28" ca="1" si="2">SUM(B9:K9)</f>
        <v>0</v>
      </c>
      <c r="M9" s="34"/>
      <c r="N9" s="35"/>
      <c r="O9" s="36"/>
      <c r="P9" s="36"/>
      <c r="Q9" s="36"/>
      <c r="R9" s="2"/>
      <c r="S9" s="2"/>
      <c r="T9" s="2"/>
      <c r="U9" s="2"/>
    </row>
    <row r="10" spans="1:21" x14ac:dyDescent="0.25">
      <c r="A10" t="s">
        <v>1</v>
      </c>
      <c r="B10" s="51">
        <f ca="1">SUMIFS(OFFSET(Persistance!$K:$K,0,$A$2-Persistance!$K$1),Persistance!$B:$B,$A10,Persistance!$D:$D,B$5,Persistance!$A:$A,"Consumer")*1000</f>
        <v>824.39615971053558</v>
      </c>
      <c r="C10" s="51">
        <f ca="1">SUMIFS(OFFSET(Persistance!$K:$K,0,$A$2-Persistance!$K$1),Persistance!$B:$B,$A10,Persistance!$D:$D,C$5,Persistance!$A:$A,"Consumer")*1000</f>
        <v>2297.792195821457</v>
      </c>
      <c r="D10" s="51">
        <f ca="1">SUMIFS(OFFSET(Persistance!$K:$K,0,$A$2-Persistance!$K$1),Persistance!$B:$B,$A10,Persistance!$D:$D,D$5,Persistance!$A:$A,"Consumer")*1000</f>
        <v>0</v>
      </c>
      <c r="E10" s="51">
        <f ca="1">SUMIFS(OFFSET(Persistance!$K:$K,0,$A$2-Persistance!$K$1),Persistance!$B:$B,$A10,Persistance!$D:$D,E$5,Persistance!$A:$A,"Consumer")*1000</f>
        <v>0</v>
      </c>
      <c r="F10" s="51">
        <f ca="1">SUMIFS(OFFSET(Persistance!$K:$K,0,$A$2-Persistance!$K$1),Persistance!$B:$B,$A10,Persistance!$D:$D,F$5,Persistance!$A:$A,"Consumer")*1000</f>
        <v>0</v>
      </c>
      <c r="G10" s="51">
        <f ca="1">SUMIFS(OFFSET(Persistance!$K:$K,0,$A$2-Persistance!$K$1),Persistance!$B:$B,$A10,Persistance!$D:$D,G$5,Persistance!$A:$A,"Consumer")*1000</f>
        <v>0</v>
      </c>
      <c r="H10" s="51">
        <f ca="1">SUMIFS(OFFSET(Persistance!$K:$K,0,$A$2-Persistance!$K$1),Persistance!$B:$B,$A10,Persistance!$D:$D,H$5,Persistance!$A:$A,"Consumer")*1000</f>
        <v>0</v>
      </c>
      <c r="I10" s="51">
        <f ca="1">SUMIFS(OFFSET(Persistance!$K:$K,0,$A$2-Persistance!$K$1),Persistance!$B:$B,$A10,Persistance!$D:$D,I$5,Persistance!$A:$A,"Consumer")*1000</f>
        <v>0</v>
      </c>
      <c r="J10" s="51">
        <f ca="1">SUMIFS(OFFSET(Persistance!$K:$K,0,$A$2-Persistance!$K$1),Persistance!$B:$B,$A10,Persistance!$D:$D,J$5,Persistance!$A:$A,"Consumer")*1000</f>
        <v>0</v>
      </c>
      <c r="K10" s="51">
        <f ca="1">SUMIFS(OFFSET(Persistance!$K:$K,0,$A$2-Persistance!$K$1),Persistance!$B:$B,$A10,Persistance!$D:$D,K$5,Persistance!$A:$A,"Consumer")*1000</f>
        <v>0</v>
      </c>
      <c r="L10" s="34">
        <f t="shared" ca="1" si="2"/>
        <v>3122.1883555319928</v>
      </c>
      <c r="M10" s="34"/>
      <c r="N10" s="35"/>
      <c r="O10" s="36"/>
      <c r="P10" s="36"/>
      <c r="Q10" s="36"/>
      <c r="R10" s="2"/>
      <c r="S10" s="2"/>
      <c r="T10" s="2"/>
      <c r="U10" s="2"/>
    </row>
    <row r="11" spans="1:21" x14ac:dyDescent="0.25">
      <c r="A11" t="s">
        <v>0</v>
      </c>
      <c r="B11" s="51">
        <f ca="1">SUMIFS(OFFSET(Persistance!$K:$K,0,$A$2-Persistance!$K$1),Persistance!$B:$B,$A11,Persistance!$D:$D,B$5,Persistance!$A:$A,"Consumer")*1000</f>
        <v>28618.459605914679</v>
      </c>
      <c r="C11" s="51">
        <f ca="1">SUMIFS(OFFSET(Persistance!$K:$K,0,$A$2-Persistance!$K$1),Persistance!$B:$B,$A11,Persistance!$D:$D,C$5,Persistance!$A:$A,"Consumer")*1000</f>
        <v>15584.638286646952</v>
      </c>
      <c r="D11" s="51">
        <f ca="1">SUMIFS(OFFSET(Persistance!$K:$K,0,$A$2-Persistance!$K$1),Persistance!$B:$B,$A11,Persistance!$D:$D,D$5,Persistance!$A:$A,"Consumer")*1000</f>
        <v>0</v>
      </c>
      <c r="E11" s="51">
        <f ca="1">SUMIFS(OFFSET(Persistance!$K:$K,0,$A$2-Persistance!$K$1),Persistance!$B:$B,$A11,Persistance!$D:$D,E$5,Persistance!$A:$A,"Consumer")*1000</f>
        <v>0</v>
      </c>
      <c r="F11" s="51">
        <f ca="1">SUMIFS(OFFSET(Persistance!$K:$K,0,$A$2-Persistance!$K$1),Persistance!$B:$B,$A11,Persistance!$D:$D,F$5,Persistance!$A:$A,"Consumer")*1000</f>
        <v>0</v>
      </c>
      <c r="G11" s="51">
        <f ca="1">SUMIFS(OFFSET(Persistance!$K:$K,0,$A$2-Persistance!$K$1),Persistance!$B:$B,$A11,Persistance!$D:$D,G$5,Persistance!$A:$A,"Consumer")*1000</f>
        <v>0</v>
      </c>
      <c r="H11" s="51">
        <f ca="1">SUMIFS(OFFSET(Persistance!$K:$K,0,$A$2-Persistance!$K$1),Persistance!$B:$B,$A11,Persistance!$D:$D,H$5,Persistance!$A:$A,"Consumer")*1000</f>
        <v>0</v>
      </c>
      <c r="I11" s="51">
        <f ca="1">SUMIFS(OFFSET(Persistance!$K:$K,0,$A$2-Persistance!$K$1),Persistance!$B:$B,$A11,Persistance!$D:$D,I$5,Persistance!$A:$A,"Consumer")*1000</f>
        <v>0</v>
      </c>
      <c r="J11" s="51">
        <f ca="1">SUMIFS(OFFSET(Persistance!$K:$K,0,$A$2-Persistance!$K$1),Persistance!$B:$B,$A11,Persistance!$D:$D,J$5,Persistance!$A:$A,"Consumer")*1000</f>
        <v>0</v>
      </c>
      <c r="K11" s="51">
        <f ca="1">SUMIFS(OFFSET(Persistance!$K:$K,0,$A$2-Persistance!$K$1),Persistance!$B:$B,$A11,Persistance!$D:$D,K$5,Persistance!$A:$A,"Consumer")*1000</f>
        <v>0</v>
      </c>
      <c r="L11" s="34">
        <f t="shared" ca="1" si="2"/>
        <v>44203.097892561629</v>
      </c>
      <c r="M11" s="34"/>
      <c r="N11" s="35"/>
      <c r="O11" s="36"/>
      <c r="P11" s="36"/>
      <c r="Q11" s="36"/>
      <c r="R11" s="2"/>
      <c r="S11" s="2"/>
      <c r="T11" s="2"/>
      <c r="U11" s="2"/>
    </row>
    <row r="12" spans="1:21" x14ac:dyDescent="0.25">
      <c r="A12" t="s">
        <v>53</v>
      </c>
      <c r="B12" s="51">
        <f ca="1">SUMIFS(OFFSET(Persistance!$K:$K,0,$A$2-Persistance!$K$1),Persistance!$B:$B,$A12,Persistance!$D:$D,B$5,Persistance!$A:$A,"Consumer")*1000</f>
        <v>0</v>
      </c>
      <c r="C12" s="51">
        <f ca="1">SUMIFS(OFFSET(Persistance!$K:$K,0,$A$2-Persistance!$K$1),Persistance!$B:$B,$A12,Persistance!$D:$D,C$5,Persistance!$A:$A,"Consumer")*1000</f>
        <v>0</v>
      </c>
      <c r="D12" s="51">
        <f ca="1">SUMIFS(OFFSET(Persistance!$K:$K,0,$A$2-Persistance!$K$1),Persistance!$B:$B,$A12,Persistance!$D:$D,D$5,Persistance!$A:$A,"Consumer")*1000</f>
        <v>0</v>
      </c>
      <c r="E12" s="51">
        <f ca="1">SUMIFS(OFFSET(Persistance!$K:$K,0,$A$2-Persistance!$K$1),Persistance!$B:$B,$A12,Persistance!$D:$D,E$5,Persistance!$A:$A,"Consumer")*1000</f>
        <v>0</v>
      </c>
      <c r="F12" s="51">
        <f ca="1">SUMIFS(OFFSET(Persistance!$K:$K,0,$A$2-Persistance!$K$1),Persistance!$B:$B,$A12,Persistance!$D:$D,F$5,Persistance!$A:$A,"Consumer")*1000</f>
        <v>0</v>
      </c>
      <c r="G12" s="51">
        <f ca="1">SUMIFS(OFFSET(Persistance!$K:$K,0,$A$2-Persistance!$K$1),Persistance!$B:$B,$A12,Persistance!$D:$D,G$5,Persistance!$A:$A,"Consumer")*1000</f>
        <v>0</v>
      </c>
      <c r="H12" s="51">
        <f ca="1">SUMIFS(OFFSET(Persistance!$K:$K,0,$A$2-Persistance!$K$1),Persistance!$B:$B,$A12,Persistance!$D:$D,H$5,Persistance!$A:$A,"Consumer")*1000</f>
        <v>0</v>
      </c>
      <c r="I12" s="51">
        <f ca="1">SUMIFS(OFFSET(Persistance!$K:$K,0,$A$2-Persistance!$K$1),Persistance!$B:$B,$A12,Persistance!$D:$D,I$5,Persistance!$A:$A,"Consumer")*1000</f>
        <v>0</v>
      </c>
      <c r="J12" s="51">
        <f ca="1">SUMIFS(OFFSET(Persistance!$K:$K,0,$A$2-Persistance!$K$1),Persistance!$B:$B,$A12,Persistance!$D:$D,J$5,Persistance!$A:$A,"Consumer")*1000</f>
        <v>0</v>
      </c>
      <c r="K12" s="51">
        <f ca="1">SUMIFS(OFFSET(Persistance!$K:$K,0,$A$2-Persistance!$K$1),Persistance!$B:$B,$A12,Persistance!$D:$D,K$5,Persistance!$A:$A,"Consumer")*1000</f>
        <v>0</v>
      </c>
      <c r="L12" s="34">
        <f t="shared" ca="1" si="2"/>
        <v>0</v>
      </c>
      <c r="M12" s="34"/>
      <c r="N12" s="35"/>
      <c r="O12" s="36"/>
      <c r="P12" s="36"/>
      <c r="Q12" s="36"/>
      <c r="R12" s="2"/>
      <c r="S12" s="2"/>
      <c r="T12" s="2"/>
      <c r="U12" s="2"/>
    </row>
    <row r="13" spans="1:21" x14ac:dyDescent="0.25">
      <c r="A13" t="s">
        <v>4</v>
      </c>
      <c r="B13" s="51">
        <f ca="1">SUMIFS(OFFSET(Persistance!$K:$K,0,$A$2-Persistance!$K$1),Persistance!$B:$B,$A13,Persistance!$D:$D,B$5,Persistance!$A:$A,"Consumer")*1000</f>
        <v>33509.567265749611</v>
      </c>
      <c r="C13" s="51">
        <f ca="1">SUMIFS(OFFSET(Persistance!$K:$K,0,$A$2-Persistance!$K$1),Persistance!$B:$B,$A13,Persistance!$D:$D,C$5,Persistance!$A:$A,"Consumer")*1000</f>
        <v>28426.28731595966</v>
      </c>
      <c r="D13" s="51">
        <f ca="1">SUMIFS(OFFSET(Persistance!$K:$K,0,$A$2-Persistance!$K$1),Persistance!$B:$B,$A13,Persistance!$D:$D,D$5,Persistance!$A:$A,"Consumer")*1000</f>
        <v>0</v>
      </c>
      <c r="E13" s="51">
        <f ca="1">SUMIFS(OFFSET(Persistance!$K:$K,0,$A$2-Persistance!$K$1),Persistance!$B:$B,$A13,Persistance!$D:$D,E$5,Persistance!$A:$A,"Consumer")*1000</f>
        <v>0</v>
      </c>
      <c r="F13" s="51">
        <f ca="1">SUMIFS(OFFSET(Persistance!$K:$K,0,$A$2-Persistance!$K$1),Persistance!$B:$B,$A13,Persistance!$D:$D,F$5,Persistance!$A:$A,"Consumer")*1000</f>
        <v>0</v>
      </c>
      <c r="G13" s="51">
        <f ca="1">SUMIFS(OFFSET(Persistance!$K:$K,0,$A$2-Persistance!$K$1),Persistance!$B:$B,$A13,Persistance!$D:$D,G$5,Persistance!$A:$A,"Consumer")*1000</f>
        <v>0</v>
      </c>
      <c r="H13" s="51">
        <f ca="1">SUMIFS(OFFSET(Persistance!$K:$K,0,$A$2-Persistance!$K$1),Persistance!$B:$B,$A13,Persistance!$D:$D,H$5,Persistance!$A:$A,"Consumer")*1000</f>
        <v>0</v>
      </c>
      <c r="I13" s="51">
        <f ca="1">SUMIFS(OFFSET(Persistance!$K:$K,0,$A$2-Persistance!$K$1),Persistance!$B:$B,$A13,Persistance!$D:$D,I$5,Persistance!$A:$A,"Consumer")*1000</f>
        <v>0</v>
      </c>
      <c r="J13" s="51">
        <f ca="1">SUMIFS(OFFSET(Persistance!$K:$K,0,$A$2-Persistance!$K$1),Persistance!$B:$B,$A13,Persistance!$D:$D,J$5,Persistance!$A:$A,"Consumer")*1000</f>
        <v>0</v>
      </c>
      <c r="K13" s="51">
        <f ca="1">SUMIFS(OFFSET(Persistance!$K:$K,0,$A$2-Persistance!$K$1),Persistance!$B:$B,$A13,Persistance!$D:$D,K$5,Persistance!$A:$A,"Consumer")*1000</f>
        <v>0</v>
      </c>
      <c r="L13" s="34">
        <f t="shared" ca="1" si="2"/>
        <v>61935.854581709267</v>
      </c>
      <c r="M13" s="34"/>
      <c r="N13" s="35"/>
      <c r="O13" s="36"/>
      <c r="P13" s="36"/>
      <c r="Q13" s="36"/>
      <c r="R13" s="2"/>
      <c r="S13" s="2"/>
      <c r="T13" s="2"/>
      <c r="U13" s="2"/>
    </row>
    <row r="14" spans="1:21" x14ac:dyDescent="0.25">
      <c r="A14" t="s">
        <v>52</v>
      </c>
      <c r="B14" s="51">
        <f ca="1">SUMIFS(OFFSET(Persistance!$K:$K,0,$A$2-Persistance!$K$1),Persistance!$B:$B,$A14,Persistance!$D:$D,B$5,Persistance!$A:$A,"Consumer")*1000</f>
        <v>0</v>
      </c>
      <c r="C14" s="51">
        <f ca="1">SUMIFS(OFFSET(Persistance!$K:$K,0,$A$2-Persistance!$K$1),Persistance!$B:$B,$A14,Persistance!$D:$D,C$5,Persistance!$A:$A,"Consumer")*1000</f>
        <v>0</v>
      </c>
      <c r="D14" s="51">
        <f ca="1">SUMIFS(OFFSET(Persistance!$K:$K,0,$A$2-Persistance!$K$1),Persistance!$B:$B,$A14,Persistance!$D:$D,D$5,Persistance!$A:$A,"Consumer")*1000</f>
        <v>0</v>
      </c>
      <c r="E14" s="51">
        <f ca="1">SUMIFS(OFFSET(Persistance!$K:$K,0,$A$2-Persistance!$K$1),Persistance!$B:$B,$A14,Persistance!$D:$D,E$5,Persistance!$A:$A,"Consumer")*1000</f>
        <v>0</v>
      </c>
      <c r="F14" s="51">
        <f ca="1">SUMIFS(OFFSET(Persistance!$K:$K,0,$A$2-Persistance!$K$1),Persistance!$B:$B,$A14,Persistance!$D:$D,F$5,Persistance!$A:$A,"Consumer")*1000</f>
        <v>0</v>
      </c>
      <c r="G14" s="51">
        <f ca="1">SUMIFS(OFFSET(Persistance!$K:$K,0,$A$2-Persistance!$K$1),Persistance!$B:$B,$A14,Persistance!$D:$D,G$5,Persistance!$A:$A,"Consumer")*1000</f>
        <v>0</v>
      </c>
      <c r="H14" s="51">
        <f ca="1">SUMIFS(OFFSET(Persistance!$K:$K,0,$A$2-Persistance!$K$1),Persistance!$B:$B,$A14,Persistance!$D:$D,H$5,Persistance!$A:$A,"Consumer")*1000</f>
        <v>0</v>
      </c>
      <c r="I14" s="51">
        <f ca="1">SUMIFS(OFFSET(Persistance!$K:$K,0,$A$2-Persistance!$K$1),Persistance!$B:$B,$A14,Persistance!$D:$D,I$5,Persistance!$A:$A,"Consumer")*1000</f>
        <v>0</v>
      </c>
      <c r="J14" s="51">
        <f ca="1">SUMIFS(OFFSET(Persistance!$K:$K,0,$A$2-Persistance!$K$1),Persistance!$B:$B,$A14,Persistance!$D:$D,J$5,Persistance!$A:$A,"Consumer")*1000</f>
        <v>0</v>
      </c>
      <c r="K14" s="51">
        <f ca="1">SUMIFS(OFFSET(Persistance!$K:$K,0,$A$2-Persistance!$K$1),Persistance!$B:$B,$A14,Persistance!$D:$D,K$5,Persistance!$A:$A,"Consumer")*1000</f>
        <v>0</v>
      </c>
      <c r="L14" s="34">
        <f t="shared" ca="1" si="2"/>
        <v>0</v>
      </c>
      <c r="M14" s="34"/>
      <c r="N14" s="35"/>
      <c r="O14" s="36"/>
      <c r="P14" s="36"/>
      <c r="Q14" s="36"/>
      <c r="R14" s="2"/>
      <c r="S14" s="2"/>
      <c r="T14" s="2"/>
      <c r="U14" s="2"/>
    </row>
    <row r="15" spans="1:21" x14ac:dyDescent="0.25">
      <c r="A15" t="s">
        <v>75</v>
      </c>
      <c r="B15" s="51">
        <f ca="1">SUMIFS(OFFSET(Persistance!$K:$K,0,$A$2-Persistance!$K$1),Persistance!$B:$B,$A15,Persistance!$D:$D,B$5,Persistance!$A:$A,"Consumer")*1000</f>
        <v>0</v>
      </c>
      <c r="C15" s="51">
        <f ca="1">SUMIFS(OFFSET(Persistance!$K:$K,0,$A$2-Persistance!$K$1),Persistance!$B:$B,$A15,Persistance!$D:$D,C$5,Persistance!$A:$A,"Consumer")*1000</f>
        <v>0</v>
      </c>
      <c r="D15" s="51">
        <f ca="1">SUMIFS(OFFSET(Persistance!$K:$K,0,$A$2-Persistance!$K$1),Persistance!$B:$B,$A15,Persistance!$D:$D,D$5,Persistance!$A:$A,"Consumer")*1000</f>
        <v>0</v>
      </c>
      <c r="E15" s="51">
        <f ca="1">SUMIFS(OFFSET(Persistance!$K:$K,0,$A$2-Persistance!$K$1),Persistance!$B:$B,$A15,Persistance!$D:$D,E$5,Persistance!$A:$A,"Consumer")*1000</f>
        <v>0</v>
      </c>
      <c r="F15" s="51">
        <f ca="1">SUMIFS(OFFSET(Persistance!$K:$K,0,$A$2-Persistance!$K$1),Persistance!$B:$B,$A15,Persistance!$D:$D,F$5,Persistance!$A:$A,"Consumer")*1000</f>
        <v>0</v>
      </c>
      <c r="G15" s="51">
        <f ca="1">SUMIFS(OFFSET(Persistance!$K:$K,0,$A$2-Persistance!$K$1),Persistance!$B:$B,$A15,Persistance!$D:$D,G$5,Persistance!$A:$A,"Consumer")*1000</f>
        <v>0</v>
      </c>
      <c r="H15" s="51">
        <f ca="1">SUMIFS(OFFSET(Persistance!$K:$K,0,$A$2-Persistance!$K$1),Persistance!$B:$B,$A15,Persistance!$D:$D,H$5,Persistance!$A:$A,"Consumer")*1000</f>
        <v>0</v>
      </c>
      <c r="I15" s="51">
        <f ca="1">SUMIFS(OFFSET(Persistance!$K:$K,0,$A$2-Persistance!$K$1),Persistance!$B:$B,$A15,Persistance!$D:$D,I$5,Persistance!$A:$A,"Consumer")*1000</f>
        <v>0</v>
      </c>
      <c r="J15" s="51">
        <f ca="1">SUMIFS(OFFSET(Persistance!$K:$K,0,$A$2-Persistance!$K$1),Persistance!$B:$B,$A15,Persistance!$D:$D,J$5,Persistance!$A:$A,"Consumer")*1000</f>
        <v>0</v>
      </c>
      <c r="K15" s="51">
        <f ca="1">SUMIFS(OFFSET(Persistance!$K:$K,0,$A$2-Persistance!$K$1),Persistance!$B:$B,$A15,Persistance!$D:$D,K$5,Persistance!$A:$A,"Consumer")*1000</f>
        <v>0</v>
      </c>
      <c r="L15" s="34">
        <f t="shared" ca="1" si="2"/>
        <v>0</v>
      </c>
      <c r="M15" s="34"/>
      <c r="N15" s="35"/>
      <c r="O15" s="36"/>
      <c r="P15" s="36"/>
      <c r="Q15" s="36"/>
      <c r="R15" s="2"/>
      <c r="S15" s="2"/>
      <c r="T15" s="2"/>
      <c r="U15" s="2"/>
    </row>
    <row r="16" spans="1:21" x14ac:dyDescent="0.25">
      <c r="A16" t="s">
        <v>3</v>
      </c>
      <c r="B16" s="51">
        <f ca="1">SUMIFS(OFFSET(Persistance!$K:$K,0,$A$2-Persistance!$K$1),Persistance!$B:$B,$A16,Persistance!$D:$D,B$5,Persistance!$A:$A,"Consumer")*1000</f>
        <v>20550.910292421315</v>
      </c>
      <c r="C16" s="51">
        <f ca="1">SUMIFS(OFFSET(Persistance!$K:$K,0,$A$2-Persistance!$K$1),Persistance!$B:$B,$A16,Persistance!$D:$D,C$5,Persistance!$A:$A,"Consumer")*1000</f>
        <v>1484.0628416218267</v>
      </c>
      <c r="D16" s="51">
        <f ca="1">SUMIFS(OFFSET(Persistance!$K:$K,0,$A$2-Persistance!$K$1),Persistance!$B:$B,$A16,Persistance!$D:$D,D$5,Persistance!$A:$A,"Consumer")*1000</f>
        <v>0</v>
      </c>
      <c r="E16" s="51">
        <f ca="1">SUMIFS(OFFSET(Persistance!$K:$K,0,$A$2-Persistance!$K$1),Persistance!$B:$B,$A16,Persistance!$D:$D,E$5,Persistance!$A:$A,"Consumer")*1000</f>
        <v>0</v>
      </c>
      <c r="F16" s="51">
        <f ca="1">SUMIFS(OFFSET(Persistance!$K:$K,0,$A$2-Persistance!$K$1),Persistance!$B:$B,$A16,Persistance!$D:$D,F$5,Persistance!$A:$A,"Consumer")*1000</f>
        <v>0</v>
      </c>
      <c r="G16" s="51">
        <f ca="1">SUMIFS(OFFSET(Persistance!$K:$K,0,$A$2-Persistance!$K$1),Persistance!$B:$B,$A16,Persistance!$D:$D,G$5,Persistance!$A:$A,"Consumer")*1000</f>
        <v>0</v>
      </c>
      <c r="H16" s="51">
        <f ca="1">SUMIFS(OFFSET(Persistance!$K:$K,0,$A$2-Persistance!$K$1),Persistance!$B:$B,$A16,Persistance!$D:$D,H$5,Persistance!$A:$A,"Consumer")*1000</f>
        <v>0</v>
      </c>
      <c r="I16" s="51">
        <f ca="1">SUMIFS(OFFSET(Persistance!$K:$K,0,$A$2-Persistance!$K$1),Persistance!$B:$B,$A16,Persistance!$D:$D,I$5,Persistance!$A:$A,"Consumer")*1000</f>
        <v>0</v>
      </c>
      <c r="J16" s="51">
        <f ca="1">SUMIFS(OFFSET(Persistance!$K:$K,0,$A$2-Persistance!$K$1),Persistance!$B:$B,$A16,Persistance!$D:$D,J$5,Persistance!$A:$A,"Consumer")*1000</f>
        <v>0</v>
      </c>
      <c r="K16" s="51">
        <f ca="1">SUMIFS(OFFSET(Persistance!$K:$K,0,$A$2-Persistance!$K$1),Persistance!$B:$B,$A16,Persistance!$D:$D,K$5,Persistance!$A:$A,"Consumer")*1000</f>
        <v>0</v>
      </c>
      <c r="L16" s="34">
        <f t="shared" ca="1" si="2"/>
        <v>22034.973134043143</v>
      </c>
      <c r="M16" s="34"/>
      <c r="N16" s="35"/>
      <c r="O16" s="36"/>
      <c r="P16" s="36"/>
      <c r="Q16" s="36"/>
      <c r="R16" s="2"/>
      <c r="S16" s="2"/>
      <c r="T16" s="2"/>
      <c r="U16" s="2"/>
    </row>
    <row r="17" spans="1:21" x14ac:dyDescent="0.25">
      <c r="A17" t="s">
        <v>51</v>
      </c>
      <c r="B17" s="51">
        <f ca="1">SUMIFS(OFFSET(Persistance!$K:$K,0,$A$2-Persistance!$K$1),Persistance!$B:$B,$A17,Persistance!$D:$D,B$5,Persistance!$A:$A,"Consumer")*1000</f>
        <v>0</v>
      </c>
      <c r="C17" s="51">
        <f ca="1">SUMIFS(OFFSET(Persistance!$K:$K,0,$A$2-Persistance!$K$1),Persistance!$B:$B,$A17,Persistance!$D:$D,C$5,Persistance!$A:$A,"Consumer")*1000</f>
        <v>0</v>
      </c>
      <c r="D17" s="51">
        <f ca="1">SUMIFS(OFFSET(Persistance!$K:$K,0,$A$2-Persistance!$K$1),Persistance!$B:$B,$A17,Persistance!$D:$D,D$5,Persistance!$A:$A,"Consumer")*1000</f>
        <v>0</v>
      </c>
      <c r="E17" s="51">
        <f ca="1">SUMIFS(OFFSET(Persistance!$K:$K,0,$A$2-Persistance!$K$1),Persistance!$B:$B,$A17,Persistance!$D:$D,E$5,Persistance!$A:$A,"Consumer")*1000</f>
        <v>0</v>
      </c>
      <c r="F17" s="51">
        <f ca="1">SUMIFS(OFFSET(Persistance!$K:$K,0,$A$2-Persistance!$K$1),Persistance!$B:$B,$A17,Persistance!$D:$D,F$5,Persistance!$A:$A,"Consumer")*1000</f>
        <v>0</v>
      </c>
      <c r="G17" s="51">
        <f ca="1">SUMIFS(OFFSET(Persistance!$K:$K,0,$A$2-Persistance!$K$1),Persistance!$B:$B,$A17,Persistance!$D:$D,G$5,Persistance!$A:$A,"Consumer")*1000</f>
        <v>0</v>
      </c>
      <c r="H17" s="51">
        <f ca="1">SUMIFS(OFFSET(Persistance!$K:$K,0,$A$2-Persistance!$K$1),Persistance!$B:$B,$A17,Persistance!$D:$D,H$5,Persistance!$A:$A,"Consumer")*1000</f>
        <v>0</v>
      </c>
      <c r="I17" s="51">
        <f ca="1">SUMIFS(OFFSET(Persistance!$K:$K,0,$A$2-Persistance!$K$1),Persistance!$B:$B,$A17,Persistance!$D:$D,I$5,Persistance!$A:$A,"Consumer")*1000</f>
        <v>0</v>
      </c>
      <c r="J17" s="51">
        <f ca="1">SUMIFS(OFFSET(Persistance!$K:$K,0,$A$2-Persistance!$K$1),Persistance!$B:$B,$A17,Persistance!$D:$D,J$5,Persistance!$A:$A,"Consumer")*1000</f>
        <v>0</v>
      </c>
      <c r="K17" s="51">
        <f ca="1">SUMIFS(OFFSET(Persistance!$K:$K,0,$A$2-Persistance!$K$1),Persistance!$B:$B,$A17,Persistance!$D:$D,K$5,Persistance!$A:$A,"Consumer")*1000</f>
        <v>0</v>
      </c>
      <c r="L17" s="34">
        <f t="shared" ca="1" si="2"/>
        <v>0</v>
      </c>
      <c r="M17" s="34"/>
      <c r="N17" s="35"/>
      <c r="O17" s="36"/>
      <c r="P17" s="36"/>
      <c r="Q17" s="36"/>
      <c r="R17" s="2"/>
      <c r="S17" s="2"/>
      <c r="T17" s="2"/>
      <c r="U17" s="2"/>
    </row>
    <row r="18" spans="1:21" x14ac:dyDescent="0.25">
      <c r="A18" t="s">
        <v>6</v>
      </c>
      <c r="B18" s="51">
        <f ca="1">SUMIFS(OFFSET(Persistance!$K:$K,0,$A$2-Persistance!$K$1),Persistance!$B:$B,$A18,Persistance!$D:$D,B$5,Persistance!$A:$A,"Consumer")*1000</f>
        <v>0</v>
      </c>
      <c r="C18" s="51">
        <f ca="1">SUMIFS(OFFSET(Persistance!$K:$K,0,$A$2-Persistance!$K$1),Persistance!$B:$B,$A18,Persistance!$D:$D,C$5,Persistance!$A:$A,"Consumer")*1000</f>
        <v>0</v>
      </c>
      <c r="D18" s="51">
        <f ca="1">SUMIFS(OFFSET(Persistance!$K:$K,0,$A$2-Persistance!$K$1),Persistance!$B:$B,$A18,Persistance!$D:$D,D$5,Persistance!$A:$A,"Consumer")*1000</f>
        <v>0</v>
      </c>
      <c r="E18" s="51">
        <f ca="1">SUMIFS(OFFSET(Persistance!$K:$K,0,$A$2-Persistance!$K$1),Persistance!$B:$B,$A18,Persistance!$D:$D,E$5,Persistance!$A:$A,"Consumer")*1000</f>
        <v>0</v>
      </c>
      <c r="F18" s="51">
        <f ca="1">SUMIFS(OFFSET(Persistance!$K:$K,0,$A$2-Persistance!$K$1),Persistance!$B:$B,$A18,Persistance!$D:$D,F$5,Persistance!$A:$A,"Consumer")*1000</f>
        <v>0</v>
      </c>
      <c r="G18" s="51">
        <f ca="1">SUMIFS(OFFSET(Persistance!$K:$K,0,$A$2-Persistance!$K$1),Persistance!$B:$B,$A18,Persistance!$D:$D,G$5,Persistance!$A:$A,"Consumer")*1000</f>
        <v>0</v>
      </c>
      <c r="H18" s="51">
        <f ca="1">SUMIFS(OFFSET(Persistance!$K:$K,0,$A$2-Persistance!$K$1),Persistance!$B:$B,$A18,Persistance!$D:$D,H$5,Persistance!$A:$A,"Consumer")*1000</f>
        <v>0</v>
      </c>
      <c r="I18" s="51">
        <f ca="1">SUMIFS(OFFSET(Persistance!$K:$K,0,$A$2-Persistance!$K$1),Persistance!$B:$B,$A18,Persistance!$D:$D,I$5,Persistance!$A:$A,"Consumer")*1000</f>
        <v>0</v>
      </c>
      <c r="J18" s="51">
        <f ca="1">SUMIFS(OFFSET(Persistance!$K:$K,0,$A$2-Persistance!$K$1),Persistance!$B:$B,$A18,Persistance!$D:$D,J$5,Persistance!$A:$A,"Consumer")*1000</f>
        <v>0</v>
      </c>
      <c r="K18" s="51">
        <f ca="1">SUMIFS(OFFSET(Persistance!$K:$K,0,$A$2-Persistance!$K$1),Persistance!$B:$B,$A18,Persistance!$D:$D,K$5,Persistance!$A:$A,"Consumer")*1000</f>
        <v>0</v>
      </c>
      <c r="L18" s="34">
        <f t="shared" ca="1" si="2"/>
        <v>0</v>
      </c>
      <c r="M18" s="34"/>
      <c r="N18" s="35"/>
      <c r="O18" s="36"/>
      <c r="P18" s="36"/>
      <c r="Q18" s="36"/>
      <c r="R18" s="2"/>
      <c r="S18" s="2"/>
      <c r="T18" s="2"/>
      <c r="U18" s="2"/>
    </row>
    <row r="19" spans="1:21" x14ac:dyDescent="0.25">
      <c r="A19" t="s">
        <v>76</v>
      </c>
      <c r="B19" s="51">
        <f ca="1">SUMIFS(OFFSET(Persistance!$K:$K,0,$A$2-Persistance!$K$1),Persistance!$B:$B,$A19,Persistance!$D:$D,B$5,Persistance!$A:$A,"Consumer")*1000</f>
        <v>0</v>
      </c>
      <c r="C19" s="51">
        <f ca="1">SUMIFS(OFFSET(Persistance!$K:$K,0,$A$2-Persistance!$K$1),Persistance!$B:$B,$A19,Persistance!$D:$D,C$5,Persistance!$A:$A,"Consumer")*1000</f>
        <v>8.8096292469061677</v>
      </c>
      <c r="D19" s="51">
        <f ca="1">SUMIFS(OFFSET(Persistance!$K:$K,0,$A$2-Persistance!$K$1),Persistance!$B:$B,$A19,Persistance!$D:$D,D$5,Persistance!$A:$A,"Consumer")*1000</f>
        <v>0</v>
      </c>
      <c r="E19" s="51">
        <f ca="1">SUMIFS(OFFSET(Persistance!$K:$K,0,$A$2-Persistance!$K$1),Persistance!$B:$B,$A19,Persistance!$D:$D,E$5,Persistance!$A:$A,"Consumer")*1000</f>
        <v>0</v>
      </c>
      <c r="F19" s="51">
        <f ca="1">SUMIFS(OFFSET(Persistance!$K:$K,0,$A$2-Persistance!$K$1),Persistance!$B:$B,$A19,Persistance!$D:$D,F$5,Persistance!$A:$A,"Consumer")*1000</f>
        <v>0</v>
      </c>
      <c r="G19" s="51">
        <f ca="1">SUMIFS(OFFSET(Persistance!$K:$K,0,$A$2-Persistance!$K$1),Persistance!$B:$B,$A19,Persistance!$D:$D,G$5,Persistance!$A:$A,"Consumer")*1000</f>
        <v>0</v>
      </c>
      <c r="H19" s="51">
        <f ca="1">SUMIFS(OFFSET(Persistance!$K:$K,0,$A$2-Persistance!$K$1),Persistance!$B:$B,$A19,Persistance!$D:$D,H$5,Persistance!$A:$A,"Consumer")*1000</f>
        <v>0</v>
      </c>
      <c r="I19" s="51">
        <f ca="1">SUMIFS(OFFSET(Persistance!$K:$K,0,$A$2-Persistance!$K$1),Persistance!$B:$B,$A19,Persistance!$D:$D,I$5,Persistance!$A:$A,"Consumer")*1000</f>
        <v>0</v>
      </c>
      <c r="J19" s="51">
        <f ca="1">SUMIFS(OFFSET(Persistance!$K:$K,0,$A$2-Persistance!$K$1),Persistance!$B:$B,$A19,Persistance!$D:$D,J$5,Persistance!$A:$A,"Consumer")*1000</f>
        <v>0</v>
      </c>
      <c r="K19" s="51">
        <f ca="1">SUMIFS(OFFSET(Persistance!$K:$K,0,$A$2-Persistance!$K$1),Persistance!$B:$B,$A19,Persistance!$D:$D,K$5,Persistance!$A:$A,"Consumer")*1000</f>
        <v>0</v>
      </c>
      <c r="L19" s="34">
        <f t="shared" ca="1" si="2"/>
        <v>8.8096292469061677</v>
      </c>
      <c r="M19" s="34"/>
      <c r="N19" s="35"/>
      <c r="O19" s="36"/>
      <c r="P19" s="36"/>
      <c r="Q19" s="36"/>
      <c r="R19" s="2"/>
      <c r="S19" s="2"/>
      <c r="T19" s="2"/>
      <c r="U19" s="2"/>
    </row>
    <row r="20" spans="1:21" x14ac:dyDescent="0.25">
      <c r="A20" t="s">
        <v>2</v>
      </c>
      <c r="B20" s="51">
        <f ca="1">SUMIFS(OFFSET(Persistance!$K:$K,0,$A$2-Persistance!$K$1),Persistance!$B:$B,$A20,Persistance!$D:$D,B$5,Persistance!$A:$A,"Consumer")*1000</f>
        <v>634.62790547023724</v>
      </c>
      <c r="C20" s="51">
        <f ca="1">SUMIFS(OFFSET(Persistance!$K:$K,0,$A$2-Persistance!$K$1),Persistance!$B:$B,$A20,Persistance!$D:$D,C$5,Persistance!$A:$A,"Consumer")*1000</f>
        <v>373.6511442107049</v>
      </c>
      <c r="D20" s="51">
        <f ca="1">SUMIFS(OFFSET(Persistance!$K:$K,0,$A$2-Persistance!$K$1),Persistance!$B:$B,$A20,Persistance!$D:$D,D$5,Persistance!$A:$A,"Consumer")*1000</f>
        <v>0</v>
      </c>
      <c r="E20" s="51">
        <f ca="1">SUMIFS(OFFSET(Persistance!$K:$K,0,$A$2-Persistance!$K$1),Persistance!$B:$B,$A20,Persistance!$D:$D,E$5,Persistance!$A:$A,"Consumer")*1000</f>
        <v>0</v>
      </c>
      <c r="F20" s="51">
        <f ca="1">SUMIFS(OFFSET(Persistance!$K:$K,0,$A$2-Persistance!$K$1),Persistance!$B:$B,$A20,Persistance!$D:$D,F$5,Persistance!$A:$A,"Consumer")*1000</f>
        <v>0</v>
      </c>
      <c r="G20" s="51">
        <f ca="1">SUMIFS(OFFSET(Persistance!$K:$K,0,$A$2-Persistance!$K$1),Persistance!$B:$B,$A20,Persistance!$D:$D,G$5,Persistance!$A:$A,"Consumer")*1000</f>
        <v>0</v>
      </c>
      <c r="H20" s="51">
        <f ca="1">SUMIFS(OFFSET(Persistance!$K:$K,0,$A$2-Persistance!$K$1),Persistance!$B:$B,$A20,Persistance!$D:$D,H$5,Persistance!$A:$A,"Consumer")*1000</f>
        <v>0</v>
      </c>
      <c r="I20" s="51">
        <f ca="1">SUMIFS(OFFSET(Persistance!$K:$K,0,$A$2-Persistance!$K$1),Persistance!$B:$B,$A20,Persistance!$D:$D,I$5,Persistance!$A:$A,"Consumer")*1000</f>
        <v>0</v>
      </c>
      <c r="J20" s="51">
        <f ca="1">SUMIFS(OFFSET(Persistance!$K:$K,0,$A$2-Persistance!$K$1),Persistance!$B:$B,$A20,Persistance!$D:$D,J$5,Persistance!$A:$A,"Consumer")*1000</f>
        <v>0</v>
      </c>
      <c r="K20" s="51">
        <f ca="1">SUMIFS(OFFSET(Persistance!$K:$K,0,$A$2-Persistance!$K$1),Persistance!$B:$B,$A20,Persistance!$D:$D,K$5,Persistance!$A:$A,"Consumer")*1000</f>
        <v>0</v>
      </c>
      <c r="L20" s="34">
        <f t="shared" ca="1" si="2"/>
        <v>1008.2790496809421</v>
      </c>
      <c r="M20" s="34"/>
      <c r="N20" s="35"/>
      <c r="O20" s="36"/>
      <c r="P20" s="36"/>
      <c r="Q20" s="36"/>
      <c r="R20" s="2"/>
      <c r="S20" s="2"/>
      <c r="T20" s="2"/>
      <c r="U20" s="2"/>
    </row>
    <row r="21" spans="1:21" x14ac:dyDescent="0.25">
      <c r="A21" t="s">
        <v>54</v>
      </c>
      <c r="B21" s="51">
        <f ca="1">SUMIFS(OFFSET(Persistance!$K:$K,0,$A$2-Persistance!$K$1),Persistance!$B:$B,$A21,Persistance!$D:$D,B$5,Persistance!$A:$A,"Consumer")*1000</f>
        <v>0</v>
      </c>
      <c r="C21" s="51">
        <f ca="1">SUMIFS(OFFSET(Persistance!$K:$K,0,$A$2-Persistance!$K$1),Persistance!$B:$B,$A21,Persistance!$D:$D,C$5,Persistance!$A:$A,"Consumer")*1000</f>
        <v>0</v>
      </c>
      <c r="D21" s="51">
        <f ca="1">SUMIFS(OFFSET(Persistance!$K:$K,0,$A$2-Persistance!$K$1),Persistance!$B:$B,$A21,Persistance!$D:$D,D$5,Persistance!$A:$A,"Consumer")*1000</f>
        <v>0</v>
      </c>
      <c r="E21" s="51">
        <f ca="1">SUMIFS(OFFSET(Persistance!$K:$K,0,$A$2-Persistance!$K$1),Persistance!$B:$B,$A21,Persistance!$D:$D,E$5,Persistance!$A:$A,"Consumer")*1000</f>
        <v>0</v>
      </c>
      <c r="F21" s="51">
        <f ca="1">SUMIFS(OFFSET(Persistance!$K:$K,0,$A$2-Persistance!$K$1),Persistance!$B:$B,$A21,Persistance!$D:$D,F$5,Persistance!$A:$A,"Consumer")*1000</f>
        <v>0</v>
      </c>
      <c r="G21" s="51">
        <f ca="1">SUMIFS(OFFSET(Persistance!$K:$K,0,$A$2-Persistance!$K$1),Persistance!$B:$B,$A21,Persistance!$D:$D,G$5,Persistance!$A:$A,"Consumer")*1000</f>
        <v>0</v>
      </c>
      <c r="H21" s="51">
        <f ca="1">SUMIFS(OFFSET(Persistance!$K:$K,0,$A$2-Persistance!$K$1),Persistance!$B:$B,$A21,Persistance!$D:$D,H$5,Persistance!$A:$A,"Consumer")*1000</f>
        <v>0</v>
      </c>
      <c r="I21" s="51">
        <f ca="1">SUMIFS(OFFSET(Persistance!$K:$K,0,$A$2-Persistance!$K$1),Persistance!$B:$B,$A21,Persistance!$D:$D,I$5,Persistance!$A:$A,"Consumer")*1000</f>
        <v>0</v>
      </c>
      <c r="J21" s="51">
        <f ca="1">SUMIFS(OFFSET(Persistance!$K:$K,0,$A$2-Persistance!$K$1),Persistance!$B:$B,$A21,Persistance!$D:$D,J$5,Persistance!$A:$A,"Consumer")*1000</f>
        <v>0</v>
      </c>
      <c r="K21" s="51">
        <f ca="1">SUMIFS(OFFSET(Persistance!$K:$K,0,$A$2-Persistance!$K$1),Persistance!$B:$B,$A21,Persistance!$D:$D,K$5,Persistance!$A:$A,"Consumer")*1000</f>
        <v>0</v>
      </c>
      <c r="L21" s="34">
        <f t="shared" ca="1" si="2"/>
        <v>0</v>
      </c>
      <c r="M21" s="34"/>
      <c r="N21" s="35"/>
      <c r="O21" s="36"/>
      <c r="P21" s="36"/>
      <c r="Q21" s="36"/>
      <c r="R21" s="2"/>
      <c r="S21" s="2"/>
      <c r="T21" s="2"/>
      <c r="U21" s="2"/>
    </row>
    <row r="22" spans="1:21" x14ac:dyDescent="0.25">
      <c r="A22" t="s">
        <v>63</v>
      </c>
      <c r="B22" s="51">
        <f ca="1">SUMIFS(OFFSET(Persistance!$K:$K,0,$A$2-Persistance!$K$1),Persistance!$B:$B,$A22,Persistance!$D:$D,B$5,Persistance!$A:$A,"Consumer")*1000</f>
        <v>0</v>
      </c>
      <c r="C22" s="51">
        <f ca="1">SUMIFS(OFFSET(Persistance!$K:$K,0,$A$2-Persistance!$K$1),Persistance!$B:$B,$A22,Persistance!$D:$D,C$5,Persistance!$A:$A,"Consumer")*1000</f>
        <v>0</v>
      </c>
      <c r="D22" s="51">
        <f ca="1">SUMIFS(OFFSET(Persistance!$K:$K,0,$A$2-Persistance!$K$1),Persistance!$B:$B,$A22,Persistance!$D:$D,D$5,Persistance!$A:$A,"Consumer")*1000</f>
        <v>0</v>
      </c>
      <c r="E22" s="51">
        <f ca="1">SUMIFS(OFFSET(Persistance!$K:$K,0,$A$2-Persistance!$K$1),Persistance!$B:$B,$A22,Persistance!$D:$D,E$5,Persistance!$A:$A,"Consumer")*1000</f>
        <v>0</v>
      </c>
      <c r="F22" s="51">
        <f ca="1">SUMIFS(OFFSET(Persistance!$K:$K,0,$A$2-Persistance!$K$1),Persistance!$B:$B,$A22,Persistance!$D:$D,F$5,Persistance!$A:$A,"Consumer")*1000</f>
        <v>0</v>
      </c>
      <c r="G22" s="51">
        <f ca="1">SUMIFS(OFFSET(Persistance!$K:$K,0,$A$2-Persistance!$K$1),Persistance!$B:$B,$A22,Persistance!$D:$D,G$5,Persistance!$A:$A,"Consumer")*1000</f>
        <v>0</v>
      </c>
      <c r="H22" s="51">
        <f ca="1">SUMIFS(OFFSET(Persistance!$K:$K,0,$A$2-Persistance!$K$1),Persistance!$B:$B,$A22,Persistance!$D:$D,H$5,Persistance!$A:$A,"Consumer")*1000</f>
        <v>0</v>
      </c>
      <c r="I22" s="51">
        <f ca="1">SUMIFS(OFFSET(Persistance!$K:$K,0,$A$2-Persistance!$K$1),Persistance!$B:$B,$A22,Persistance!$D:$D,I$5,Persistance!$A:$A,"Consumer")*1000</f>
        <v>0</v>
      </c>
      <c r="J22" s="51">
        <f ca="1">SUMIFS(OFFSET(Persistance!$K:$K,0,$A$2-Persistance!$K$1),Persistance!$B:$B,$A22,Persistance!$D:$D,J$5,Persistance!$A:$A,"Consumer")*1000</f>
        <v>0</v>
      </c>
      <c r="K22" s="51">
        <f ca="1">SUMIFS(OFFSET(Persistance!$K:$K,0,$A$2-Persistance!$K$1),Persistance!$B:$B,$A22,Persistance!$D:$D,K$5,Persistance!$A:$A,"Consumer")*1000</f>
        <v>0</v>
      </c>
      <c r="L22" s="34">
        <f t="shared" ca="1" si="2"/>
        <v>0</v>
      </c>
      <c r="M22" s="34"/>
      <c r="N22" s="35"/>
      <c r="O22" s="36"/>
      <c r="P22" s="36"/>
      <c r="Q22" s="36"/>
      <c r="R22" s="2"/>
      <c r="S22" s="2"/>
      <c r="T22" s="2"/>
      <c r="U22" s="2"/>
    </row>
    <row r="23" spans="1:21" x14ac:dyDescent="0.25">
      <c r="A23" t="s">
        <v>71</v>
      </c>
      <c r="B23" s="51">
        <f ca="1">SUMIFS(OFFSET(Persistance!$K:$K,0,$A$2-Persistance!$K$1),Persistance!$B:$B,$A23,Persistance!$D:$D,B$5,Persistance!$A:$A,"Consumer")*1000</f>
        <v>0</v>
      </c>
      <c r="C23" s="51">
        <f ca="1">SUMIFS(OFFSET(Persistance!$K:$K,0,$A$2-Persistance!$K$1),Persistance!$B:$B,$A23,Persistance!$D:$D,C$5,Persistance!$A:$A,"Consumer")*1000</f>
        <v>0</v>
      </c>
      <c r="D23" s="51">
        <f ca="1">SUMIFS(OFFSET(Persistance!$K:$K,0,$A$2-Persistance!$K$1),Persistance!$B:$B,$A23,Persistance!$D:$D,D$5,Persistance!$A:$A,"Consumer")*1000</f>
        <v>0</v>
      </c>
      <c r="E23" s="51">
        <f ca="1">SUMIFS(OFFSET(Persistance!$K:$K,0,$A$2-Persistance!$K$1),Persistance!$B:$B,$A23,Persistance!$D:$D,E$5,Persistance!$A:$A,"Consumer")*1000</f>
        <v>0</v>
      </c>
      <c r="F23" s="51">
        <f ca="1">SUMIFS(OFFSET(Persistance!$K:$K,0,$A$2-Persistance!$K$1),Persistance!$B:$B,$A23,Persistance!$D:$D,F$5,Persistance!$A:$A,"Consumer")*1000</f>
        <v>0</v>
      </c>
      <c r="G23" s="51">
        <f ca="1">SUMIFS(OFFSET(Persistance!$K:$K,0,$A$2-Persistance!$K$1),Persistance!$B:$B,$A23,Persistance!$D:$D,G$5,Persistance!$A:$A,"Consumer")*1000</f>
        <v>0</v>
      </c>
      <c r="H23" s="51">
        <f ca="1">SUMIFS(OFFSET(Persistance!$K:$K,0,$A$2-Persistance!$K$1),Persistance!$B:$B,$A23,Persistance!$D:$D,H$5,Persistance!$A:$A,"Consumer")*1000</f>
        <v>0</v>
      </c>
      <c r="I23" s="51">
        <f ca="1">SUMIFS(OFFSET(Persistance!$K:$K,0,$A$2-Persistance!$K$1),Persistance!$B:$B,$A23,Persistance!$D:$D,I$5,Persistance!$A:$A,"Consumer")*1000</f>
        <v>0</v>
      </c>
      <c r="J23" s="51">
        <f ca="1">SUMIFS(OFFSET(Persistance!$K:$K,0,$A$2-Persistance!$K$1),Persistance!$B:$B,$A23,Persistance!$D:$D,J$5,Persistance!$A:$A,"Consumer")*1000</f>
        <v>0</v>
      </c>
      <c r="K23" s="51">
        <f ca="1">SUMIFS(OFFSET(Persistance!$K:$K,0,$A$2-Persistance!$K$1),Persistance!$B:$B,$A23,Persistance!$D:$D,K$5,Persistance!$A:$A,"Consumer")*1000</f>
        <v>0</v>
      </c>
      <c r="L23" s="34">
        <f t="shared" ca="1" si="2"/>
        <v>0</v>
      </c>
      <c r="M23" s="34"/>
      <c r="N23" s="35"/>
      <c r="O23" s="36"/>
      <c r="P23" s="36"/>
      <c r="Q23" s="36"/>
      <c r="R23" s="2"/>
      <c r="S23" s="2"/>
      <c r="T23" s="2"/>
      <c r="U23" s="2"/>
    </row>
    <row r="24" spans="1:21" x14ac:dyDescent="0.25">
      <c r="A24" t="s">
        <v>72</v>
      </c>
      <c r="B24" s="51">
        <f ca="1">SUMIFS(OFFSET(Persistance!$K:$K,0,$A$2-Persistance!$K$1),Persistance!$B:$B,$A24,Persistance!$D:$D,B$5,Persistance!$A:$A,"Consumer")*1000</f>
        <v>0</v>
      </c>
      <c r="C24" s="51">
        <f ca="1">SUMIFS(OFFSET(Persistance!$K:$K,0,$A$2-Persistance!$K$1),Persistance!$B:$B,$A24,Persistance!$D:$D,C$5,Persistance!$A:$A,"Consumer")*1000</f>
        <v>0</v>
      </c>
      <c r="D24" s="51">
        <f ca="1">SUMIFS(OFFSET(Persistance!$K:$K,0,$A$2-Persistance!$K$1),Persistance!$B:$B,$A24,Persistance!$D:$D,D$5,Persistance!$A:$A,"Consumer")*1000</f>
        <v>0</v>
      </c>
      <c r="E24" s="51">
        <f ca="1">SUMIFS(OFFSET(Persistance!$K:$K,0,$A$2-Persistance!$K$1),Persistance!$B:$B,$A24,Persistance!$D:$D,E$5,Persistance!$A:$A,"Consumer")*1000</f>
        <v>0</v>
      </c>
      <c r="F24" s="51">
        <f ca="1">SUMIFS(OFFSET(Persistance!$K:$K,0,$A$2-Persistance!$K$1),Persistance!$B:$B,$A24,Persistance!$D:$D,F$5,Persistance!$A:$A,"Consumer")*1000</f>
        <v>0</v>
      </c>
      <c r="G24" s="51">
        <f ca="1">SUMIFS(OFFSET(Persistance!$K:$K,0,$A$2-Persistance!$K$1),Persistance!$B:$B,$A24,Persistance!$D:$D,G$5,Persistance!$A:$A,"Consumer")*1000</f>
        <v>0</v>
      </c>
      <c r="H24" s="51">
        <f ca="1">SUMIFS(OFFSET(Persistance!$K:$K,0,$A$2-Persistance!$K$1),Persistance!$B:$B,$A24,Persistance!$D:$D,H$5,Persistance!$A:$A,"Consumer")*1000</f>
        <v>0</v>
      </c>
      <c r="I24" s="51">
        <f ca="1">SUMIFS(OFFSET(Persistance!$K:$K,0,$A$2-Persistance!$K$1),Persistance!$B:$B,$A24,Persistance!$D:$D,I$5,Persistance!$A:$A,"Consumer")*1000</f>
        <v>0</v>
      </c>
      <c r="J24" s="51">
        <f ca="1">SUMIFS(OFFSET(Persistance!$K:$K,0,$A$2-Persistance!$K$1),Persistance!$B:$B,$A24,Persistance!$D:$D,J$5,Persistance!$A:$A,"Consumer")*1000</f>
        <v>0</v>
      </c>
      <c r="K24" s="51">
        <f ca="1">SUMIFS(OFFSET(Persistance!$K:$K,0,$A$2-Persistance!$K$1),Persistance!$B:$B,$A24,Persistance!$D:$D,K$5,Persistance!$A:$A,"Consumer")*1000</f>
        <v>0</v>
      </c>
      <c r="L24" s="34">
        <f t="shared" ca="1" si="2"/>
        <v>0</v>
      </c>
      <c r="M24" s="34"/>
      <c r="N24" s="35"/>
      <c r="O24" s="36"/>
      <c r="P24" s="36"/>
      <c r="Q24" s="36"/>
      <c r="R24" s="2"/>
      <c r="S24" s="2"/>
      <c r="T24" s="2"/>
      <c r="U24" s="2"/>
    </row>
    <row r="25" spans="1:21" x14ac:dyDescent="0.25">
      <c r="A25" t="s">
        <v>40</v>
      </c>
      <c r="B25" s="51">
        <f ca="1">SUMIFS(OFFSET(Persistance!$K:$K,0,$A$2-Persistance!$K$1),Persistance!$B:$B,$A25,Persistance!$D:$D,B$5,Persistance!$A:$A,"Consumer")*1000</f>
        <v>0</v>
      </c>
      <c r="C25" s="51">
        <f ca="1">SUMIFS(OFFSET(Persistance!$K:$K,0,$A$2-Persistance!$K$1),Persistance!$B:$B,$A25,Persistance!$D:$D,C$5,Persistance!$A:$A,"Consumer")*1000</f>
        <v>0</v>
      </c>
      <c r="D25" s="51">
        <f ca="1">SUMIFS(OFFSET(Persistance!$K:$K,0,$A$2-Persistance!$K$1),Persistance!$B:$B,$A25,Persistance!$D:$D,D$5,Persistance!$A:$A,"Consumer")*1000</f>
        <v>0</v>
      </c>
      <c r="E25" s="51">
        <f ca="1">SUMIFS(OFFSET(Persistance!$K:$K,0,$A$2-Persistance!$K$1),Persistance!$B:$B,$A25,Persistance!$D:$D,E$5,Persistance!$A:$A,"Consumer")*1000</f>
        <v>0</v>
      </c>
      <c r="F25" s="51">
        <f ca="1">SUMIFS(OFFSET(Persistance!$K:$K,0,$A$2-Persistance!$K$1),Persistance!$B:$B,$A25,Persistance!$D:$D,F$5,Persistance!$A:$A,"Consumer")*1000</f>
        <v>0</v>
      </c>
      <c r="G25" s="51">
        <f ca="1">SUMIFS(OFFSET(Persistance!$K:$K,0,$A$2-Persistance!$K$1),Persistance!$B:$B,$A25,Persistance!$D:$D,G$5,Persistance!$A:$A,"Consumer")*1000</f>
        <v>0</v>
      </c>
      <c r="H25" s="51">
        <f ca="1">SUMIFS(OFFSET(Persistance!$K:$K,0,$A$2-Persistance!$K$1),Persistance!$B:$B,$A25,Persistance!$D:$D,H$5,Persistance!$A:$A,"Consumer")*1000</f>
        <v>0</v>
      </c>
      <c r="I25" s="51">
        <f ca="1">SUMIFS(OFFSET(Persistance!$K:$K,0,$A$2-Persistance!$K$1),Persistance!$B:$B,$A25,Persistance!$D:$D,I$5,Persistance!$A:$A,"Consumer")*1000</f>
        <v>0</v>
      </c>
      <c r="J25" s="51">
        <f ca="1">SUMIFS(OFFSET(Persistance!$K:$K,0,$A$2-Persistance!$K$1),Persistance!$B:$B,$A25,Persistance!$D:$D,J$5,Persistance!$A:$A,"Consumer")*1000</f>
        <v>0</v>
      </c>
      <c r="K25" s="51">
        <f ca="1">SUMIFS(OFFSET(Persistance!$K:$K,0,$A$2-Persistance!$K$1),Persistance!$B:$B,$A25,Persistance!$D:$D,K$5,Persistance!$A:$A,"Consumer")*1000</f>
        <v>0</v>
      </c>
      <c r="L25" s="34">
        <f t="shared" ca="1" si="2"/>
        <v>0</v>
      </c>
      <c r="M25" s="34"/>
      <c r="N25" s="35"/>
      <c r="O25" s="36"/>
      <c r="P25" s="36"/>
      <c r="Q25" s="36"/>
      <c r="R25" s="2"/>
      <c r="S25" s="2"/>
      <c r="T25" s="2"/>
      <c r="U25" s="2"/>
    </row>
    <row r="26" spans="1:21" x14ac:dyDescent="0.25">
      <c r="A26" t="s">
        <v>55</v>
      </c>
      <c r="B26" s="51">
        <f ca="1">SUMIFS(OFFSET(Persistance!$K:$K,0,$A$2-Persistance!$K$1),Persistance!$B:$B,$A26,Persistance!$D:$D,B$5,Persistance!$A:$A,"Consumer")*1000</f>
        <v>0</v>
      </c>
      <c r="C26" s="51">
        <f ca="1">SUMIFS(OFFSET(Persistance!$K:$K,0,$A$2-Persistance!$K$1),Persistance!$B:$B,$A26,Persistance!$D:$D,C$5,Persistance!$A:$A,"Consumer")*1000</f>
        <v>0</v>
      </c>
      <c r="D26" s="51">
        <f ca="1">SUMIFS(OFFSET(Persistance!$K:$K,0,$A$2-Persistance!$K$1),Persistance!$B:$B,$A26,Persistance!$D:$D,D$5,Persistance!$A:$A,"Consumer")*1000</f>
        <v>0</v>
      </c>
      <c r="E26" s="51">
        <f ca="1">SUMIFS(OFFSET(Persistance!$K:$K,0,$A$2-Persistance!$K$1),Persistance!$B:$B,$A26,Persistance!$D:$D,E$5,Persistance!$A:$A,"Consumer")*1000</f>
        <v>0</v>
      </c>
      <c r="F26" s="51">
        <f ca="1">SUMIFS(OFFSET(Persistance!$K:$K,0,$A$2-Persistance!$K$1),Persistance!$B:$B,$A26,Persistance!$D:$D,F$5,Persistance!$A:$A,"Consumer")*1000</f>
        <v>0</v>
      </c>
      <c r="G26" s="51">
        <f ca="1">SUMIFS(OFFSET(Persistance!$K:$K,0,$A$2-Persistance!$K$1),Persistance!$B:$B,$A26,Persistance!$D:$D,G$5,Persistance!$A:$A,"Consumer")*1000</f>
        <v>0</v>
      </c>
      <c r="H26" s="51">
        <f ca="1">SUMIFS(OFFSET(Persistance!$K:$K,0,$A$2-Persistance!$K$1),Persistance!$B:$B,$A26,Persistance!$D:$D,H$5,Persistance!$A:$A,"Consumer")*1000</f>
        <v>0</v>
      </c>
      <c r="I26" s="51">
        <f ca="1">SUMIFS(OFFSET(Persistance!$K:$K,0,$A$2-Persistance!$K$1),Persistance!$B:$B,$A26,Persistance!$D:$D,I$5,Persistance!$A:$A,"Consumer")*1000</f>
        <v>0</v>
      </c>
      <c r="J26" s="51">
        <f ca="1">SUMIFS(OFFSET(Persistance!$K:$K,0,$A$2-Persistance!$K$1),Persistance!$B:$B,$A26,Persistance!$D:$D,J$5,Persistance!$A:$A,"Consumer")*1000</f>
        <v>0</v>
      </c>
      <c r="K26" s="51">
        <f ca="1">SUMIFS(OFFSET(Persistance!$K:$K,0,$A$2-Persistance!$K$1),Persistance!$B:$B,$A26,Persistance!$D:$D,K$5,Persistance!$A:$A,"Consumer")*1000</f>
        <v>0</v>
      </c>
      <c r="L26" s="34">
        <f t="shared" ca="1" si="2"/>
        <v>0</v>
      </c>
      <c r="M26" s="34"/>
      <c r="N26" s="35"/>
      <c r="O26" s="36"/>
      <c r="P26" s="36"/>
      <c r="Q26" s="36"/>
      <c r="R26" s="2"/>
      <c r="S26" s="2"/>
      <c r="T26" s="2"/>
      <c r="U26" s="2"/>
    </row>
    <row r="27" spans="1:21" x14ac:dyDescent="0.25">
      <c r="A27" t="s">
        <v>39</v>
      </c>
      <c r="B27" s="51">
        <f ca="1">SUMIFS(OFFSET(Persistance!$K:$K,0,$A$2-Persistance!$K$1),Persistance!$B:$B,$A27,Persistance!$D:$D,B$5,Persistance!$A:$A,"Consumer")*1000</f>
        <v>0</v>
      </c>
      <c r="C27" s="51">
        <f ca="1">SUMIFS(OFFSET(Persistance!$K:$K,0,$A$2-Persistance!$K$1),Persistance!$B:$B,$A27,Persistance!$D:$D,C$5,Persistance!$A:$A,"Consumer")*1000</f>
        <v>0</v>
      </c>
      <c r="D27" s="51">
        <f ca="1">SUMIFS(OFFSET(Persistance!$K:$K,0,$A$2-Persistance!$K$1),Persistance!$B:$B,$A27,Persistance!$D:$D,D$5,Persistance!$A:$A,"Consumer")*1000</f>
        <v>0</v>
      </c>
      <c r="E27" s="51">
        <f ca="1">SUMIFS(OFFSET(Persistance!$K:$K,0,$A$2-Persistance!$K$1),Persistance!$B:$B,$A27,Persistance!$D:$D,E$5,Persistance!$A:$A,"Consumer")*1000</f>
        <v>0</v>
      </c>
      <c r="F27" s="51">
        <f ca="1">SUMIFS(OFFSET(Persistance!$K:$K,0,$A$2-Persistance!$K$1),Persistance!$B:$B,$A27,Persistance!$D:$D,F$5,Persistance!$A:$A,"Consumer")*1000</f>
        <v>0</v>
      </c>
      <c r="G27" s="51">
        <f ca="1">SUMIFS(OFFSET(Persistance!$K:$K,0,$A$2-Persistance!$K$1),Persistance!$B:$B,$A27,Persistance!$D:$D,G$5,Persistance!$A:$A,"Consumer")*1000</f>
        <v>0</v>
      </c>
      <c r="H27" s="51">
        <f ca="1">SUMIFS(OFFSET(Persistance!$K:$K,0,$A$2-Persistance!$K$1),Persistance!$B:$B,$A27,Persistance!$D:$D,H$5,Persistance!$A:$A,"Consumer")*1000</f>
        <v>0</v>
      </c>
      <c r="I27" s="51">
        <f ca="1">SUMIFS(OFFSET(Persistance!$K:$K,0,$A$2-Persistance!$K$1),Persistance!$B:$B,$A27,Persistance!$D:$D,I$5,Persistance!$A:$A,"Consumer")*1000</f>
        <v>0</v>
      </c>
      <c r="J27" s="51">
        <f ca="1">SUMIFS(OFFSET(Persistance!$K:$K,0,$A$2-Persistance!$K$1),Persistance!$B:$B,$A27,Persistance!$D:$D,J$5,Persistance!$A:$A,"Consumer")*1000</f>
        <v>0</v>
      </c>
      <c r="K27" s="51">
        <f ca="1">SUMIFS(OFFSET(Persistance!$K:$K,0,$A$2-Persistance!$K$1),Persistance!$B:$B,$A27,Persistance!$D:$D,K$5,Persistance!$A:$A,"Consumer")*1000</f>
        <v>0</v>
      </c>
      <c r="L27" s="34">
        <f t="shared" ca="1" si="2"/>
        <v>0</v>
      </c>
      <c r="M27" s="34"/>
      <c r="N27" s="35"/>
      <c r="O27" s="36"/>
      <c r="P27" s="36"/>
      <c r="Q27" s="36"/>
      <c r="R27" s="2"/>
      <c r="S27" s="2"/>
      <c r="T27" s="2"/>
      <c r="U27" s="2"/>
    </row>
    <row r="28" spans="1:21" x14ac:dyDescent="0.25">
      <c r="A28" t="s">
        <v>65</v>
      </c>
      <c r="B28" s="51">
        <f ca="1">SUMIFS(OFFSET(Persistance!$K:$K,0,$A$2-Persistance!$K$1),Persistance!$B:$B,$A28,Persistance!$D:$D,B$5,Persistance!$A:$A,"Consumer")*1000</f>
        <v>0</v>
      </c>
      <c r="C28" s="51">
        <f ca="1">SUMIFS(OFFSET(Persistance!$K:$K,0,$A$2-Persistance!$K$1),Persistance!$B:$B,$A28,Persistance!$D:$D,C$5,Persistance!$A:$A,"Consumer")*1000</f>
        <v>0</v>
      </c>
      <c r="D28" s="51">
        <f ca="1">SUMIFS(OFFSET(Persistance!$K:$K,0,$A$2-Persistance!$K$1),Persistance!$B:$B,$A28,Persistance!$D:$D,D$5,Persistance!$A:$A,"Consumer")*1000</f>
        <v>0</v>
      </c>
      <c r="E28" s="51">
        <f ca="1">SUMIFS(OFFSET(Persistance!$K:$K,0,$A$2-Persistance!$K$1),Persistance!$B:$B,$A28,Persistance!$D:$D,E$5,Persistance!$A:$A,"Consumer")*1000</f>
        <v>0</v>
      </c>
      <c r="F28" s="51">
        <f ca="1">SUMIFS(OFFSET(Persistance!$K:$K,0,$A$2-Persistance!$K$1),Persistance!$B:$B,$A28,Persistance!$D:$D,F$5,Persistance!$A:$A,"Consumer")*1000</f>
        <v>0</v>
      </c>
      <c r="G28" s="51">
        <f ca="1">SUMIFS(OFFSET(Persistance!$K:$K,0,$A$2-Persistance!$K$1),Persistance!$B:$B,$A28,Persistance!$D:$D,G$5,Persistance!$A:$A,"Consumer")*1000</f>
        <v>0</v>
      </c>
      <c r="H28" s="51">
        <f ca="1">SUMIFS(OFFSET(Persistance!$K:$K,0,$A$2-Persistance!$K$1),Persistance!$B:$B,$A28,Persistance!$D:$D,H$5,Persistance!$A:$A,"Consumer")*1000</f>
        <v>0</v>
      </c>
      <c r="I28" s="51">
        <f ca="1">SUMIFS(OFFSET(Persistance!$K:$K,0,$A$2-Persistance!$K$1),Persistance!$B:$B,$A28,Persistance!$D:$D,I$5,Persistance!$A:$A,"Consumer")*1000</f>
        <v>0</v>
      </c>
      <c r="J28" s="51">
        <f ca="1">SUMIFS(OFFSET(Persistance!$K:$K,0,$A$2-Persistance!$K$1),Persistance!$B:$B,$A28,Persistance!$D:$D,J$5,Persistance!$A:$A,"Consumer")*1000</f>
        <v>0</v>
      </c>
      <c r="K28" s="51">
        <f ca="1">SUMIFS(OFFSET(Persistance!$K:$K,0,$A$2-Persistance!$K$1),Persistance!$B:$B,$A28,Persistance!$D:$D,K$5,Persistance!$A:$A,"Consumer")*1000</f>
        <v>0</v>
      </c>
      <c r="L28" s="34">
        <f t="shared" ca="1" si="2"/>
        <v>0</v>
      </c>
      <c r="M28" s="34"/>
      <c r="N28" s="35"/>
      <c r="O28" s="36"/>
      <c r="P28" s="36"/>
      <c r="Q28" s="36"/>
      <c r="R28" s="2"/>
      <c r="S28" s="28" t="s">
        <v>49</v>
      </c>
      <c r="T28" s="28" t="s">
        <v>17</v>
      </c>
      <c r="U28" s="2" t="s">
        <v>50</v>
      </c>
    </row>
    <row r="29" spans="1:21" x14ac:dyDescent="0.25"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6"/>
      <c r="Q29" s="36"/>
      <c r="R29" s="2"/>
      <c r="S29" s="29">
        <f ca="1">$A$2</f>
        <v>2012</v>
      </c>
      <c r="T29" s="50">
        <f ca="1">AVERAGEIFS(Rates!E:E,Rates!F:F,'2012'!S29,Rates!G:G,"Consumer")</f>
        <v>1.35E-2</v>
      </c>
      <c r="U29" s="30">
        <f ca="1">AVERAGEIFS(Rates!B:B,Rates!F:F,'2012'!S29,Rates!G:G,"Consumer")</f>
        <v>41306</v>
      </c>
    </row>
    <row r="30" spans="1:21" x14ac:dyDescent="0.25">
      <c r="A30" t="s">
        <v>9</v>
      </c>
      <c r="B30" s="64">
        <f ca="1">SUM(B8:B29)</f>
        <v>84137.961229266366</v>
      </c>
      <c r="C30" s="64">
        <f ca="1">SUM(C8:C29)</f>
        <v>48175.241413507509</v>
      </c>
      <c r="D30" s="64">
        <f ca="1">SUM(D8:D29)</f>
        <v>0</v>
      </c>
      <c r="E30" s="64">
        <f t="shared" ref="E30:K30" ca="1" si="3">SUM(E8:E29)</f>
        <v>0</v>
      </c>
      <c r="F30" s="64">
        <f t="shared" ca="1" si="3"/>
        <v>0</v>
      </c>
      <c r="G30" s="64">
        <f t="shared" ca="1" si="3"/>
        <v>0</v>
      </c>
      <c r="H30" s="64">
        <f t="shared" ca="1" si="3"/>
        <v>0</v>
      </c>
      <c r="I30" s="64">
        <f t="shared" ca="1" si="3"/>
        <v>0</v>
      </c>
      <c r="J30" s="64">
        <f t="shared" ca="1" si="3"/>
        <v>0</v>
      </c>
      <c r="K30" s="64">
        <f t="shared" ca="1" si="3"/>
        <v>0</v>
      </c>
      <c r="L30" s="64">
        <f ca="1">SUM(L8:L29)</f>
        <v>132313.20264277389</v>
      </c>
      <c r="M30" s="64">
        <v>0</v>
      </c>
      <c r="N30" s="64">
        <f ca="1">(((MONTH(U29)-1)/12)*T30)+(((12-(MONTH(U29)-1))/12)*T29)</f>
        <v>1.3491666666666666E-2</v>
      </c>
      <c r="O30" s="64">
        <f ca="1">ROUND(L30*N30,2)</f>
        <v>1785.13</v>
      </c>
      <c r="P30" s="64">
        <f ca="1">ROUND(M30*N30,2)</f>
        <v>0</v>
      </c>
      <c r="Q30" s="64">
        <f ca="1">+O30-P30</f>
        <v>1785.13</v>
      </c>
      <c r="R30" s="2"/>
      <c r="S30" s="29">
        <f ca="1">S29-1</f>
        <v>2011</v>
      </c>
      <c r="T30" s="50">
        <f ca="1">AVERAGEIFS(Rates!E:E,Rates!F:F,'2012'!S30,Rates!G:G,"Consumer")</f>
        <v>1.34E-2</v>
      </c>
      <c r="U30" s="2"/>
    </row>
    <row r="31" spans="1:21" x14ac:dyDescent="0.25">
      <c r="B31" s="2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6"/>
      <c r="Q31" s="36"/>
      <c r="R31" s="2"/>
      <c r="S31" s="2"/>
      <c r="T31" s="2"/>
      <c r="U31" s="31"/>
    </row>
    <row r="32" spans="1:21" x14ac:dyDescent="0.25">
      <c r="A32" s="23" t="s">
        <v>45</v>
      </c>
      <c r="B32" s="51">
        <f ca="1">SUMIFS(OFFSET(Persistance!$K:$K,0,$A$2-Persistance!$K$1),Persistance!$B:$B,$A32,Persistance!$D:$D,B$5,Persistance!$A:$A,"Business")*1000</f>
        <v>0</v>
      </c>
      <c r="C32" s="51">
        <f ca="1">SUMIFS(OFFSET(Persistance!$K:$K,0,$A$2-Persistance!$K$1),Persistance!$B:$B,$A32,Persistance!$D:$D,C$5,Persistance!$A:$A,"Business")*1000</f>
        <v>0</v>
      </c>
      <c r="D32" s="51">
        <f ca="1">SUMIFS(OFFSET(Persistance!$K:$K,0,$A$2-Persistance!$K$1),Persistance!$B:$B,$A32,Persistance!$D:$D,D$5,Persistance!$A:$A,"Business")*1000</f>
        <v>0</v>
      </c>
      <c r="E32" s="51">
        <f ca="1">SUMIFS(OFFSET(Persistance!$K:$K,0,$A$2-Persistance!$K$1),Persistance!$B:$B,$A32,Persistance!$D:$D,E$5,Persistance!$A:$A,"Business")*1000</f>
        <v>0</v>
      </c>
      <c r="F32" s="51">
        <f ca="1">SUMIFS(OFFSET(Persistance!$K:$K,0,$A$2-Persistance!$K$1),Persistance!$B:$B,$A32,Persistance!$D:$D,F$5,Persistance!$A:$A,"Business")*1000</f>
        <v>0</v>
      </c>
      <c r="G32" s="51">
        <f ca="1">SUMIFS(OFFSET(Persistance!$K:$K,0,$A$2-Persistance!$K$1),Persistance!$B:$B,$A32,Persistance!$D:$D,G$5,Persistance!$A:$A,"Business")*1000</f>
        <v>0</v>
      </c>
      <c r="H32" s="51">
        <f ca="1">SUMIFS(OFFSET(Persistance!$K:$K,0,$A$2-Persistance!$K$1),Persistance!$B:$B,$A32,Persistance!$D:$D,H$5,Persistance!$A:$A,"Business")*1000</f>
        <v>0</v>
      </c>
      <c r="I32" s="51">
        <f ca="1">SUMIFS(OFFSET(Persistance!$K:$K,0,$A$2-Persistance!$K$1),Persistance!$B:$B,$A32,Persistance!$D:$D,I$5,Persistance!$A:$A,"Business")*1000</f>
        <v>0</v>
      </c>
      <c r="J32" s="51">
        <f ca="1">SUMIFS(OFFSET(Persistance!$K:$K,0,$A$2-Persistance!$K$1),Persistance!$B:$B,$A32,Persistance!$D:$D,J$5,Persistance!$A:$A,"Business")*1000</f>
        <v>0</v>
      </c>
      <c r="K32" s="51">
        <f ca="1">SUMIFS(OFFSET(Persistance!$K:$K,0,$A$2-Persistance!$K$1),Persistance!$B:$B,$A32,Persistance!$D:$D,K$5,Persistance!$A:$A,"Business")*1000</f>
        <v>0</v>
      </c>
      <c r="L32" s="34">
        <f ca="1">SUM(B32:K32)</f>
        <v>0</v>
      </c>
      <c r="M32" s="34"/>
      <c r="N32" s="34"/>
      <c r="O32" s="36"/>
      <c r="P32" s="36"/>
      <c r="Q32" s="36"/>
      <c r="R32" s="2"/>
      <c r="S32" s="2"/>
      <c r="T32" s="2"/>
      <c r="U32" s="2"/>
    </row>
    <row r="33" spans="1:21" x14ac:dyDescent="0.25">
      <c r="A33" s="23" t="s">
        <v>67</v>
      </c>
      <c r="B33" s="51">
        <f ca="1">SUMIFS(OFFSET(Persistance!$K:$K,0,$A$2-Persistance!$K$1),Persistance!$B:$B,$A33,Persistance!$D:$D,B$5,Persistance!$A:$A,"Business")*1000</f>
        <v>0</v>
      </c>
      <c r="C33" s="51">
        <f ca="1">SUMIFS(OFFSET(Persistance!$K:$K,0,$A$2-Persistance!$K$1),Persistance!$B:$B,$A33,Persistance!$D:$D,C$5,Persistance!$A:$A,"Business")*1000</f>
        <v>0</v>
      </c>
      <c r="D33" s="51">
        <f ca="1">SUMIFS(OFFSET(Persistance!$K:$K,0,$A$2-Persistance!$K$1),Persistance!$B:$B,$A33,Persistance!$D:$D,D$5,Persistance!$A:$A,"Business")*1000</f>
        <v>0</v>
      </c>
      <c r="E33" s="51">
        <f ca="1">SUMIFS(OFFSET(Persistance!$K:$K,0,$A$2-Persistance!$K$1),Persistance!$B:$B,$A33,Persistance!$D:$D,E$5,Persistance!$A:$A,"Business")*1000</f>
        <v>0</v>
      </c>
      <c r="F33" s="51">
        <f ca="1">SUMIFS(OFFSET(Persistance!$K:$K,0,$A$2-Persistance!$K$1),Persistance!$B:$B,$A33,Persistance!$D:$D,F$5,Persistance!$A:$A,"Business")*1000</f>
        <v>0</v>
      </c>
      <c r="G33" s="51">
        <f ca="1">SUMIFS(OFFSET(Persistance!$K:$K,0,$A$2-Persistance!$K$1),Persistance!$B:$B,$A33,Persistance!$D:$D,G$5,Persistance!$A:$A,"Business")*1000</f>
        <v>0</v>
      </c>
      <c r="H33" s="51">
        <f ca="1">SUMIFS(OFFSET(Persistance!$K:$K,0,$A$2-Persistance!$K$1),Persistance!$B:$B,$A33,Persistance!$D:$D,H$5,Persistance!$A:$A,"Business")*1000</f>
        <v>0</v>
      </c>
      <c r="I33" s="51">
        <f ca="1">SUMIFS(OFFSET(Persistance!$K:$K,0,$A$2-Persistance!$K$1),Persistance!$B:$B,$A33,Persistance!$D:$D,I$5,Persistance!$A:$A,"Business")*1000</f>
        <v>0</v>
      </c>
      <c r="J33" s="51">
        <f ca="1">SUMIFS(OFFSET(Persistance!$K:$K,0,$A$2-Persistance!$K$1),Persistance!$B:$B,$A33,Persistance!$D:$D,J$5,Persistance!$A:$A,"Business")*1000</f>
        <v>0</v>
      </c>
      <c r="K33" s="51">
        <f ca="1">SUMIFS(OFFSET(Persistance!$K:$K,0,$A$2-Persistance!$K$1),Persistance!$B:$B,$A33,Persistance!$D:$D,K$5,Persistance!$A:$A,"Business")*1000</f>
        <v>0</v>
      </c>
      <c r="L33" s="34">
        <f t="shared" ref="L33:L48" ca="1" si="4">SUM(B33:K33)</f>
        <v>0</v>
      </c>
      <c r="M33" s="34"/>
      <c r="N33" s="34"/>
      <c r="O33" s="36"/>
      <c r="P33" s="36"/>
      <c r="Q33" s="36"/>
      <c r="R33" s="2"/>
      <c r="S33" s="2"/>
      <c r="T33" s="2"/>
      <c r="U33" s="2"/>
    </row>
    <row r="34" spans="1:21" x14ac:dyDescent="0.25">
      <c r="A34" s="23" t="s">
        <v>66</v>
      </c>
      <c r="B34" s="51">
        <f ca="1">SUMIFS(OFFSET(Persistance!$K:$K,0,$A$2-Persistance!$K$1),Persistance!$B:$B,$A34,Persistance!$D:$D,B$5,Persistance!$A:$A,"Business")*1000</f>
        <v>0</v>
      </c>
      <c r="C34" s="51">
        <f ca="1">SUMIFS(OFFSET(Persistance!$K:$K,0,$A$2-Persistance!$K$1),Persistance!$B:$B,$A34,Persistance!$D:$D,C$5,Persistance!$A:$A,"Business")*1000</f>
        <v>0</v>
      </c>
      <c r="D34" s="51">
        <f ca="1">SUMIFS(OFFSET(Persistance!$K:$K,0,$A$2-Persistance!$K$1),Persistance!$B:$B,$A34,Persistance!$D:$D,D$5,Persistance!$A:$A,"Business")*1000</f>
        <v>0</v>
      </c>
      <c r="E34" s="51">
        <f ca="1">SUMIFS(OFFSET(Persistance!$K:$K,0,$A$2-Persistance!$K$1),Persistance!$B:$B,$A34,Persistance!$D:$D,E$5,Persistance!$A:$A,"Business")*1000</f>
        <v>0</v>
      </c>
      <c r="F34" s="51">
        <f ca="1">SUMIFS(OFFSET(Persistance!$K:$K,0,$A$2-Persistance!$K$1),Persistance!$B:$B,$A34,Persistance!$D:$D,F$5,Persistance!$A:$A,"Business")*1000</f>
        <v>0</v>
      </c>
      <c r="G34" s="51">
        <f ca="1">SUMIFS(OFFSET(Persistance!$K:$K,0,$A$2-Persistance!$K$1),Persistance!$B:$B,$A34,Persistance!$D:$D,G$5,Persistance!$A:$A,"Business")*1000</f>
        <v>0</v>
      </c>
      <c r="H34" s="51">
        <f ca="1">SUMIFS(OFFSET(Persistance!$K:$K,0,$A$2-Persistance!$K$1),Persistance!$B:$B,$A34,Persistance!$D:$D,H$5,Persistance!$A:$A,"Business")*1000</f>
        <v>0</v>
      </c>
      <c r="I34" s="51">
        <f ca="1">SUMIFS(OFFSET(Persistance!$K:$K,0,$A$2-Persistance!$K$1),Persistance!$B:$B,$A34,Persistance!$D:$D,I$5,Persistance!$A:$A,"Business")*1000</f>
        <v>0</v>
      </c>
      <c r="J34" s="51">
        <f ca="1">SUMIFS(OFFSET(Persistance!$K:$K,0,$A$2-Persistance!$K$1),Persistance!$B:$B,$A34,Persistance!$D:$D,J$5,Persistance!$A:$A,"Business")*1000</f>
        <v>0</v>
      </c>
      <c r="K34" s="51">
        <f ca="1">SUMIFS(OFFSET(Persistance!$K:$K,0,$A$2-Persistance!$K$1),Persistance!$B:$B,$A34,Persistance!$D:$D,K$5,Persistance!$A:$A,"Business")*1000</f>
        <v>0</v>
      </c>
      <c r="L34" s="34">
        <f t="shared" ca="1" si="4"/>
        <v>0</v>
      </c>
      <c r="M34" s="34"/>
      <c r="N34" s="34"/>
      <c r="O34" s="36"/>
      <c r="P34" s="36"/>
      <c r="Q34" s="36"/>
      <c r="R34" s="2"/>
      <c r="S34" s="2"/>
      <c r="T34" s="2"/>
      <c r="U34" s="2"/>
    </row>
    <row r="35" spans="1:21" x14ac:dyDescent="0.25">
      <c r="A35" s="23" t="s">
        <v>43</v>
      </c>
      <c r="B35" s="51">
        <f ca="1">SUMIFS(OFFSET(Persistance!$K:$K,0,$A$2-Persistance!$K$1),Persistance!$B:$B,$A35,Persistance!$D:$D,B$5,Persistance!$A:$A,"Business")*1000</f>
        <v>0</v>
      </c>
      <c r="C35" s="51">
        <f ca="1">SUMIFS(OFFSET(Persistance!$K:$K,0,$A$2-Persistance!$K$1),Persistance!$B:$B,$A35,Persistance!$D:$D,C$5,Persistance!$A:$A,"Business")*1000</f>
        <v>0</v>
      </c>
      <c r="D35" s="51">
        <f ca="1">SUMIFS(OFFSET(Persistance!$K:$K,0,$A$2-Persistance!$K$1),Persistance!$B:$B,$A35,Persistance!$D:$D,D$5,Persistance!$A:$A,"Business")*1000</f>
        <v>0</v>
      </c>
      <c r="E35" s="51">
        <f ca="1">SUMIFS(OFFSET(Persistance!$K:$K,0,$A$2-Persistance!$K$1),Persistance!$B:$B,$A35,Persistance!$D:$D,E$5,Persistance!$A:$A,"Business")*1000</f>
        <v>0</v>
      </c>
      <c r="F35" s="51">
        <f ca="1">SUMIFS(OFFSET(Persistance!$K:$K,0,$A$2-Persistance!$K$1),Persistance!$B:$B,$A35,Persistance!$D:$D,F$5,Persistance!$A:$A,"Business")*1000</f>
        <v>0</v>
      </c>
      <c r="G35" s="51">
        <f ca="1">SUMIFS(OFFSET(Persistance!$K:$K,0,$A$2-Persistance!$K$1),Persistance!$B:$B,$A35,Persistance!$D:$D,G$5,Persistance!$A:$A,"Business")*1000</f>
        <v>0</v>
      </c>
      <c r="H35" s="51">
        <f ca="1">SUMIFS(OFFSET(Persistance!$K:$K,0,$A$2-Persistance!$K$1),Persistance!$B:$B,$A35,Persistance!$D:$D,H$5,Persistance!$A:$A,"Business")*1000</f>
        <v>0</v>
      </c>
      <c r="I35" s="51">
        <f ca="1">SUMIFS(OFFSET(Persistance!$K:$K,0,$A$2-Persistance!$K$1),Persistance!$B:$B,$A35,Persistance!$D:$D,I$5,Persistance!$A:$A,"Business")*1000</f>
        <v>0</v>
      </c>
      <c r="J35" s="51">
        <f ca="1">SUMIFS(OFFSET(Persistance!$K:$K,0,$A$2-Persistance!$K$1),Persistance!$B:$B,$A35,Persistance!$D:$D,J$5,Persistance!$A:$A,"Business")*1000</f>
        <v>0</v>
      </c>
      <c r="K35" s="51">
        <f ca="1">SUMIFS(OFFSET(Persistance!$K:$K,0,$A$2-Persistance!$K$1),Persistance!$B:$B,$A35,Persistance!$D:$D,K$5,Persistance!$A:$A,"Business")*1000</f>
        <v>0</v>
      </c>
      <c r="L35" s="34">
        <f t="shared" ca="1" si="4"/>
        <v>0</v>
      </c>
      <c r="M35" s="34"/>
      <c r="N35" s="34"/>
      <c r="O35" s="36"/>
      <c r="P35" s="36"/>
      <c r="Q35" s="36"/>
      <c r="R35" s="2"/>
      <c r="S35" s="2"/>
      <c r="T35" s="2"/>
      <c r="U35" s="2"/>
    </row>
    <row r="36" spans="1:21" x14ac:dyDescent="0.25">
      <c r="A36" s="23" t="s">
        <v>7</v>
      </c>
      <c r="B36" s="51">
        <f ca="1">SUMIFS(OFFSET(Persistance!$K:$K,0,$A$2-Persistance!$K$1),Persistance!$B:$B,$A36,Persistance!$D:$D,B$5,Persistance!$A:$A,"Business")*1000</f>
        <v>121356.32838291893</v>
      </c>
      <c r="C36" s="51">
        <f ca="1">SUMIFS(OFFSET(Persistance!$K:$K,0,$A$2-Persistance!$K$1),Persistance!$B:$B,$A36,Persistance!$D:$D,C$5,Persistance!$A:$A,"Business")*1000</f>
        <v>315820.16315418587</v>
      </c>
      <c r="D36" s="51">
        <f ca="1">SUMIFS(OFFSET(Persistance!$K:$K,0,$A$2-Persistance!$K$1),Persistance!$B:$B,$A36,Persistance!$D:$D,D$5,Persistance!$A:$A,"Business")*1000</f>
        <v>0</v>
      </c>
      <c r="E36" s="51">
        <f ca="1">SUMIFS(OFFSET(Persistance!$K:$K,0,$A$2-Persistance!$K$1),Persistance!$B:$B,$A36,Persistance!$D:$D,E$5,Persistance!$A:$A,"Business")*1000</f>
        <v>0</v>
      </c>
      <c r="F36" s="51">
        <f ca="1">SUMIFS(OFFSET(Persistance!$K:$K,0,$A$2-Persistance!$K$1),Persistance!$B:$B,$A36,Persistance!$D:$D,F$5,Persistance!$A:$A,"Business")*1000</f>
        <v>0</v>
      </c>
      <c r="G36" s="51">
        <f ca="1">SUMIFS(OFFSET(Persistance!$K:$K,0,$A$2-Persistance!$K$1),Persistance!$B:$B,$A36,Persistance!$D:$D,G$5,Persistance!$A:$A,"Business")*1000</f>
        <v>0</v>
      </c>
      <c r="H36" s="51">
        <f ca="1">SUMIFS(OFFSET(Persistance!$K:$K,0,$A$2-Persistance!$K$1),Persistance!$B:$B,$A36,Persistance!$D:$D,H$5,Persistance!$A:$A,"Business")*1000</f>
        <v>0</v>
      </c>
      <c r="I36" s="51">
        <f ca="1">SUMIFS(OFFSET(Persistance!$K:$K,0,$A$2-Persistance!$K$1),Persistance!$B:$B,$A36,Persistance!$D:$D,I$5,Persistance!$A:$A,"Business")*1000</f>
        <v>0</v>
      </c>
      <c r="J36" s="51">
        <f ca="1">SUMIFS(OFFSET(Persistance!$K:$K,0,$A$2-Persistance!$K$1),Persistance!$B:$B,$A36,Persistance!$D:$D,J$5,Persistance!$A:$A,"Business")*1000</f>
        <v>0</v>
      </c>
      <c r="K36" s="51">
        <f ca="1">SUMIFS(OFFSET(Persistance!$K:$K,0,$A$2-Persistance!$K$1),Persistance!$B:$B,$A36,Persistance!$D:$D,K$5,Persistance!$A:$A,"Business")*1000</f>
        <v>0</v>
      </c>
      <c r="L36" s="34">
        <f t="shared" ca="1" si="4"/>
        <v>437176.49153710483</v>
      </c>
      <c r="M36" s="34"/>
      <c r="N36" s="34"/>
      <c r="O36" s="36"/>
      <c r="P36" s="36"/>
      <c r="Q36" s="36"/>
      <c r="R36" s="2"/>
      <c r="S36" s="2"/>
      <c r="T36" s="2"/>
      <c r="U36" s="2"/>
    </row>
    <row r="37" spans="1:21" x14ac:dyDescent="0.25">
      <c r="A37" s="23" t="s">
        <v>57</v>
      </c>
      <c r="B37" s="51">
        <f ca="1">SUMIFS(OFFSET(Persistance!$K:$K,0,$A$2-Persistance!$K$1),Persistance!$B:$B,$A37,Persistance!$D:$D,B$5,Persistance!$A:$A,"Business")*1000</f>
        <v>0</v>
      </c>
      <c r="C37" s="51">
        <f ca="1">SUMIFS(OFFSET(Persistance!$K:$K,0,$A$2-Persistance!$K$1),Persistance!$B:$B,$A37,Persistance!$D:$D,C$5,Persistance!$A:$A,"Business")*1000</f>
        <v>0</v>
      </c>
      <c r="D37" s="51">
        <f ca="1">SUMIFS(OFFSET(Persistance!$K:$K,0,$A$2-Persistance!$K$1),Persistance!$B:$B,$A37,Persistance!$D:$D,D$5,Persistance!$A:$A,"Business")*1000</f>
        <v>0</v>
      </c>
      <c r="E37" s="51">
        <f ca="1">SUMIFS(OFFSET(Persistance!$K:$K,0,$A$2-Persistance!$K$1),Persistance!$B:$B,$A37,Persistance!$D:$D,E$5,Persistance!$A:$A,"Business")*1000</f>
        <v>0</v>
      </c>
      <c r="F37" s="51">
        <f ca="1">SUMIFS(OFFSET(Persistance!$K:$K,0,$A$2-Persistance!$K$1),Persistance!$B:$B,$A37,Persistance!$D:$D,F$5,Persistance!$A:$A,"Business")*1000</f>
        <v>0</v>
      </c>
      <c r="G37" s="51">
        <f ca="1">SUMIFS(OFFSET(Persistance!$K:$K,0,$A$2-Persistance!$K$1),Persistance!$B:$B,$A37,Persistance!$D:$D,G$5,Persistance!$A:$A,"Business")*1000</f>
        <v>0</v>
      </c>
      <c r="H37" s="51">
        <f ca="1">SUMIFS(OFFSET(Persistance!$K:$K,0,$A$2-Persistance!$K$1),Persistance!$B:$B,$A37,Persistance!$D:$D,H$5,Persistance!$A:$A,"Business")*1000</f>
        <v>0</v>
      </c>
      <c r="I37" s="51">
        <f ca="1">SUMIFS(OFFSET(Persistance!$K:$K,0,$A$2-Persistance!$K$1),Persistance!$B:$B,$A37,Persistance!$D:$D,I$5,Persistance!$A:$A,"Business")*1000</f>
        <v>0</v>
      </c>
      <c r="J37" s="51">
        <f ca="1">SUMIFS(OFFSET(Persistance!$K:$K,0,$A$2-Persistance!$K$1),Persistance!$B:$B,$A37,Persistance!$D:$D,J$5,Persistance!$A:$A,"Business")*1000</f>
        <v>0</v>
      </c>
      <c r="K37" s="51">
        <f ca="1">SUMIFS(OFFSET(Persistance!$K:$K,0,$A$2-Persistance!$K$1),Persistance!$B:$B,$A37,Persistance!$D:$D,K$5,Persistance!$A:$A,"Business")*1000</f>
        <v>0</v>
      </c>
      <c r="L37" s="34">
        <f t="shared" ca="1" si="4"/>
        <v>0</v>
      </c>
      <c r="M37" s="34"/>
      <c r="N37" s="34"/>
      <c r="O37" s="36"/>
      <c r="P37" s="36"/>
      <c r="Q37" s="36"/>
      <c r="R37" s="2"/>
      <c r="S37" s="2"/>
      <c r="T37" s="2"/>
      <c r="U37" s="2"/>
    </row>
    <row r="38" spans="1:21" x14ac:dyDescent="0.25">
      <c r="A38" s="23" t="s">
        <v>70</v>
      </c>
      <c r="B38" s="51">
        <f ca="1">SUMIFS(OFFSET(Persistance!$K:$K,0,$A$2-Persistance!$K$1),Persistance!$B:$B,$A38,Persistance!$D:$D,B$5,Persistance!$A:$A,"Business")*1000</f>
        <v>0</v>
      </c>
      <c r="C38" s="51">
        <f ca="1">SUMIFS(OFFSET(Persistance!$K:$K,0,$A$2-Persistance!$K$1),Persistance!$B:$B,$A38,Persistance!$D:$D,C$5,Persistance!$A:$A,"Business")*1000</f>
        <v>78945.002438389231</v>
      </c>
      <c r="D38" s="51">
        <f ca="1">SUMIFS(OFFSET(Persistance!$K:$K,0,$A$2-Persistance!$K$1),Persistance!$B:$B,$A38,Persistance!$D:$D,D$5,Persistance!$A:$A,"Business")*1000</f>
        <v>0</v>
      </c>
      <c r="E38" s="51">
        <f ca="1">SUMIFS(OFFSET(Persistance!$K:$K,0,$A$2-Persistance!$K$1),Persistance!$B:$B,$A38,Persistance!$D:$D,E$5,Persistance!$A:$A,"Business")*1000</f>
        <v>0</v>
      </c>
      <c r="F38" s="51">
        <f ca="1">SUMIFS(OFFSET(Persistance!$K:$K,0,$A$2-Persistance!$K$1),Persistance!$B:$B,$A38,Persistance!$D:$D,F$5,Persistance!$A:$A,"Business")*1000</f>
        <v>0</v>
      </c>
      <c r="G38" s="51">
        <f ca="1">SUMIFS(OFFSET(Persistance!$K:$K,0,$A$2-Persistance!$K$1),Persistance!$B:$B,$A38,Persistance!$D:$D,G$5,Persistance!$A:$A,"Business")*1000</f>
        <v>0</v>
      </c>
      <c r="H38" s="51">
        <f ca="1">SUMIFS(OFFSET(Persistance!$K:$K,0,$A$2-Persistance!$K$1),Persistance!$B:$B,$A38,Persistance!$D:$D,H$5,Persistance!$A:$A,"Business")*1000</f>
        <v>0</v>
      </c>
      <c r="I38" s="51">
        <f ca="1">SUMIFS(OFFSET(Persistance!$K:$K,0,$A$2-Persistance!$K$1),Persistance!$B:$B,$A38,Persistance!$D:$D,I$5,Persistance!$A:$A,"Business")*1000</f>
        <v>0</v>
      </c>
      <c r="J38" s="51">
        <f ca="1">SUMIFS(OFFSET(Persistance!$K:$K,0,$A$2-Persistance!$K$1),Persistance!$B:$B,$A38,Persistance!$D:$D,J$5,Persistance!$A:$A,"Business")*1000</f>
        <v>0</v>
      </c>
      <c r="K38" s="51">
        <f ca="1">SUMIFS(OFFSET(Persistance!$K:$K,0,$A$2-Persistance!$K$1),Persistance!$B:$B,$A38,Persistance!$D:$D,K$5,Persistance!$A:$A,"Business")*1000</f>
        <v>0</v>
      </c>
      <c r="L38" s="34">
        <f t="shared" ca="1" si="4"/>
        <v>78945.002438389231</v>
      </c>
      <c r="M38" s="34"/>
      <c r="N38" s="34"/>
      <c r="O38" s="36"/>
      <c r="P38" s="36"/>
      <c r="Q38" s="36"/>
      <c r="R38" s="2"/>
      <c r="S38" s="2"/>
      <c r="T38" s="2"/>
      <c r="U38" s="2"/>
    </row>
    <row r="39" spans="1:21" x14ac:dyDescent="0.25">
      <c r="A39" s="23" t="s">
        <v>96</v>
      </c>
      <c r="B39" s="51">
        <f ca="1">SUMIFS(OFFSET(Persistance!$K:$K,0,$A$2-Persistance!$K$1),Persistance!$B:$B,$A39,Persistance!$D:$D,B$5,Persistance!$A:$A,"Business")*1000</f>
        <v>0</v>
      </c>
      <c r="C39" s="51">
        <f ca="1">SUMIFS(OFFSET(Persistance!$K:$K,0,$A$2-Persistance!$K$1),Persistance!$B:$B,$A39,Persistance!$D:$D,C$5,Persistance!$A:$A,"Business")*1000</f>
        <v>25176.254462563</v>
      </c>
      <c r="D39" s="51">
        <f ca="1">SUMIFS(OFFSET(Persistance!$K:$K,0,$A$2-Persistance!$K$1),Persistance!$B:$B,$A39,Persistance!$D:$D,D$5,Persistance!$A:$A,"Business")*1000</f>
        <v>0</v>
      </c>
      <c r="E39" s="51">
        <f ca="1">SUMIFS(OFFSET(Persistance!$K:$K,0,$A$2-Persistance!$K$1),Persistance!$B:$B,$A39,Persistance!$D:$D,E$5,Persistance!$A:$A,"Business")*1000</f>
        <v>0</v>
      </c>
      <c r="F39" s="51">
        <f ca="1">SUMIFS(OFFSET(Persistance!$K:$K,0,$A$2-Persistance!$K$1),Persistance!$B:$B,$A39,Persistance!$D:$D,F$5,Persistance!$A:$A,"Business")*1000</f>
        <v>0</v>
      </c>
      <c r="G39" s="51">
        <f ca="1">SUMIFS(OFFSET(Persistance!$K:$K,0,$A$2-Persistance!$K$1),Persistance!$B:$B,$A39,Persistance!$D:$D,G$5,Persistance!$A:$A,"Business")*1000</f>
        <v>0</v>
      </c>
      <c r="H39" s="51">
        <f ca="1">SUMIFS(OFFSET(Persistance!$K:$K,0,$A$2-Persistance!$K$1),Persistance!$B:$B,$A39,Persistance!$D:$D,H$5,Persistance!$A:$A,"Business")*1000</f>
        <v>0</v>
      </c>
      <c r="I39" s="51">
        <f ca="1">SUMIFS(OFFSET(Persistance!$K:$K,0,$A$2-Persistance!$K$1),Persistance!$B:$B,$A39,Persistance!$D:$D,I$5,Persistance!$A:$A,"Business")*1000</f>
        <v>0</v>
      </c>
      <c r="J39" s="51">
        <f ca="1">SUMIFS(OFFSET(Persistance!$K:$K,0,$A$2-Persistance!$K$1),Persistance!$B:$B,$A39,Persistance!$D:$D,J$5,Persistance!$A:$A,"Business")*1000</f>
        <v>0</v>
      </c>
      <c r="K39" s="51">
        <f ca="1">SUMIFS(OFFSET(Persistance!$K:$K,0,$A$2-Persistance!$K$1),Persistance!$B:$B,$A39,Persistance!$D:$D,K$5,Persistance!$A:$A,"Business")*1000</f>
        <v>0</v>
      </c>
      <c r="L39" s="34">
        <f t="shared" ca="1" si="4"/>
        <v>25176.254462563</v>
      </c>
      <c r="M39" s="34"/>
      <c r="N39" s="34"/>
      <c r="O39" s="36"/>
      <c r="P39" s="36"/>
      <c r="Q39" s="36"/>
      <c r="R39" s="2"/>
      <c r="S39" s="2"/>
      <c r="T39" s="2"/>
      <c r="U39" s="2"/>
    </row>
    <row r="40" spans="1:21" x14ac:dyDescent="0.25">
      <c r="A40" s="23" t="s">
        <v>56</v>
      </c>
      <c r="B40" s="51">
        <f ca="1">SUMIFS(OFFSET(Persistance!$K:$K,0,$A$2-Persistance!$K$1),Persistance!$B:$B,$A40,Persistance!$D:$D,B$5,Persistance!$A:$A,"Business")*1000</f>
        <v>0</v>
      </c>
      <c r="C40" s="51">
        <f ca="1">SUMIFS(OFFSET(Persistance!$K:$K,0,$A$2-Persistance!$K$1),Persistance!$B:$B,$A40,Persistance!$D:$D,C$5,Persistance!$A:$A,"Business")*1000</f>
        <v>0</v>
      </c>
      <c r="D40" s="51">
        <f ca="1">SUMIFS(OFFSET(Persistance!$K:$K,0,$A$2-Persistance!$K$1),Persistance!$B:$B,$A40,Persistance!$D:$D,D$5,Persistance!$A:$A,"Business")*1000</f>
        <v>0</v>
      </c>
      <c r="E40" s="51">
        <f ca="1">SUMIFS(OFFSET(Persistance!$K:$K,0,$A$2-Persistance!$K$1),Persistance!$B:$B,$A40,Persistance!$D:$D,E$5,Persistance!$A:$A,"Business")*1000</f>
        <v>0</v>
      </c>
      <c r="F40" s="51">
        <f ca="1">SUMIFS(OFFSET(Persistance!$K:$K,0,$A$2-Persistance!$K$1),Persistance!$B:$B,$A40,Persistance!$D:$D,F$5,Persistance!$A:$A,"Business")*1000</f>
        <v>0</v>
      </c>
      <c r="G40" s="51">
        <f ca="1">SUMIFS(OFFSET(Persistance!$K:$K,0,$A$2-Persistance!$K$1),Persistance!$B:$B,$A40,Persistance!$D:$D,G$5,Persistance!$A:$A,"Business")*1000</f>
        <v>0</v>
      </c>
      <c r="H40" s="51">
        <f ca="1">SUMIFS(OFFSET(Persistance!$K:$K,0,$A$2-Persistance!$K$1),Persistance!$B:$B,$A40,Persistance!$D:$D,H$5,Persistance!$A:$A,"Business")*1000</f>
        <v>0</v>
      </c>
      <c r="I40" s="51">
        <f ca="1">SUMIFS(OFFSET(Persistance!$K:$K,0,$A$2-Persistance!$K$1),Persistance!$B:$B,$A40,Persistance!$D:$D,I$5,Persistance!$A:$A,"Business")*1000</f>
        <v>0</v>
      </c>
      <c r="J40" s="51">
        <f ca="1">SUMIFS(OFFSET(Persistance!$K:$K,0,$A$2-Persistance!$K$1),Persistance!$B:$B,$A40,Persistance!$D:$D,J$5,Persistance!$A:$A,"Business")*1000</f>
        <v>0</v>
      </c>
      <c r="K40" s="51">
        <f ca="1">SUMIFS(OFFSET(Persistance!$K:$K,0,$A$2-Persistance!$K$1),Persistance!$B:$B,$A40,Persistance!$D:$D,K$5,Persistance!$A:$A,"Business")*1000</f>
        <v>0</v>
      </c>
      <c r="L40" s="34">
        <f t="shared" ca="1" si="4"/>
        <v>0</v>
      </c>
      <c r="M40" s="34"/>
      <c r="N40" s="34"/>
      <c r="O40" s="36"/>
      <c r="P40" s="36"/>
      <c r="Q40" s="36"/>
      <c r="R40" s="2"/>
      <c r="S40" s="2"/>
      <c r="T40" s="2"/>
      <c r="U40" s="2"/>
    </row>
    <row r="41" spans="1:21" x14ac:dyDescent="0.25">
      <c r="A41" s="23" t="s">
        <v>8</v>
      </c>
      <c r="B41" s="51">
        <f ca="1">SUMIFS(OFFSET(Persistance!$K:$K,0,$A$2-Persistance!$K$1),Persistance!$B:$B,$A41,Persistance!$D:$D,B$5,Persistance!$A:$A,"Business")*1000</f>
        <v>0</v>
      </c>
      <c r="C41" s="51">
        <f ca="1">SUMIFS(OFFSET(Persistance!$K:$K,0,$A$2-Persistance!$K$1),Persistance!$B:$B,$A41,Persistance!$D:$D,C$5,Persistance!$A:$A,"Business")*1000</f>
        <v>0</v>
      </c>
      <c r="D41" s="51">
        <f ca="1">SUMIFS(OFFSET(Persistance!$K:$K,0,$A$2-Persistance!$K$1),Persistance!$B:$B,$A41,Persistance!$D:$D,D$5,Persistance!$A:$A,"Business")*1000</f>
        <v>0</v>
      </c>
      <c r="E41" s="51">
        <f ca="1">SUMIFS(OFFSET(Persistance!$K:$K,0,$A$2-Persistance!$K$1),Persistance!$B:$B,$A41,Persistance!$D:$D,E$5,Persistance!$A:$A,"Business")*1000</f>
        <v>0</v>
      </c>
      <c r="F41" s="51">
        <f ca="1">SUMIFS(OFFSET(Persistance!$K:$K,0,$A$2-Persistance!$K$1),Persistance!$B:$B,$A41,Persistance!$D:$D,F$5,Persistance!$A:$A,"Business")*1000</f>
        <v>0</v>
      </c>
      <c r="G41" s="51">
        <f ca="1">SUMIFS(OFFSET(Persistance!$K:$K,0,$A$2-Persistance!$K$1),Persistance!$B:$B,$A41,Persistance!$D:$D,G$5,Persistance!$A:$A,"Business")*1000</f>
        <v>0</v>
      </c>
      <c r="H41" s="51">
        <f ca="1">SUMIFS(OFFSET(Persistance!$K:$K,0,$A$2-Persistance!$K$1),Persistance!$B:$B,$A41,Persistance!$D:$D,H$5,Persistance!$A:$A,"Business")*1000</f>
        <v>0</v>
      </c>
      <c r="I41" s="51">
        <f ca="1">SUMIFS(OFFSET(Persistance!$K:$K,0,$A$2-Persistance!$K$1),Persistance!$B:$B,$A41,Persistance!$D:$D,I$5,Persistance!$A:$A,"Business")*1000</f>
        <v>0</v>
      </c>
      <c r="J41" s="51">
        <f ca="1">SUMIFS(OFFSET(Persistance!$K:$K,0,$A$2-Persistance!$K$1),Persistance!$B:$B,$A41,Persistance!$D:$D,J$5,Persistance!$A:$A,"Business")*1000</f>
        <v>0</v>
      </c>
      <c r="K41" s="51">
        <f ca="1">SUMIFS(OFFSET(Persistance!$K:$K,0,$A$2-Persistance!$K$1),Persistance!$B:$B,$A41,Persistance!$D:$D,K$5,Persistance!$A:$A,"Business")*1000</f>
        <v>0</v>
      </c>
      <c r="L41" s="34">
        <f t="shared" ca="1" si="4"/>
        <v>0</v>
      </c>
      <c r="M41" s="34"/>
      <c r="N41" s="34"/>
      <c r="O41" s="36"/>
      <c r="P41" s="36"/>
      <c r="Q41" s="36"/>
      <c r="R41" s="2"/>
      <c r="S41" s="2"/>
      <c r="T41" s="2"/>
      <c r="U41" s="2"/>
    </row>
    <row r="42" spans="1:21" x14ac:dyDescent="0.25">
      <c r="A42" s="23" t="s">
        <v>58</v>
      </c>
      <c r="B42" s="51">
        <f ca="1">SUMIFS(OFFSET(Persistance!$K:$K,0,$A$2-Persistance!$K$1),Persistance!$B:$B,$A42,Persistance!$D:$D,B$5,Persistance!$A:$A,"Business")*1000</f>
        <v>0</v>
      </c>
      <c r="C42" s="51">
        <f ca="1">SUMIFS(OFFSET(Persistance!$K:$K,0,$A$2-Persistance!$K$1),Persistance!$B:$B,$A42,Persistance!$D:$D,C$5,Persistance!$A:$A,"Business")*1000</f>
        <v>0</v>
      </c>
      <c r="D42" s="51">
        <f ca="1">SUMIFS(OFFSET(Persistance!$K:$K,0,$A$2-Persistance!$K$1),Persistance!$B:$B,$A42,Persistance!$D:$D,D$5,Persistance!$A:$A,"Business")*1000</f>
        <v>0</v>
      </c>
      <c r="E42" s="51">
        <f ca="1">SUMIFS(OFFSET(Persistance!$K:$K,0,$A$2-Persistance!$K$1),Persistance!$B:$B,$A42,Persistance!$D:$D,E$5,Persistance!$A:$A,"Business")*1000</f>
        <v>0</v>
      </c>
      <c r="F42" s="51">
        <f ca="1">SUMIFS(OFFSET(Persistance!$K:$K,0,$A$2-Persistance!$K$1),Persistance!$B:$B,$A42,Persistance!$D:$D,F$5,Persistance!$A:$A,"Business")*1000</f>
        <v>0</v>
      </c>
      <c r="G42" s="51">
        <f ca="1">SUMIFS(OFFSET(Persistance!$K:$K,0,$A$2-Persistance!$K$1),Persistance!$B:$B,$A42,Persistance!$D:$D,G$5,Persistance!$A:$A,"Business")*1000</f>
        <v>0</v>
      </c>
      <c r="H42" s="51">
        <f ca="1">SUMIFS(OFFSET(Persistance!$K:$K,0,$A$2-Persistance!$K$1),Persistance!$B:$B,$A42,Persistance!$D:$D,H$5,Persistance!$A:$A,"Business")*1000</f>
        <v>0</v>
      </c>
      <c r="I42" s="51">
        <f ca="1">SUMIFS(OFFSET(Persistance!$K:$K,0,$A$2-Persistance!$K$1),Persistance!$B:$B,$A42,Persistance!$D:$D,I$5,Persistance!$A:$A,"Business")*1000</f>
        <v>0</v>
      </c>
      <c r="J42" s="51">
        <f ca="1">SUMIFS(OFFSET(Persistance!$K:$K,0,$A$2-Persistance!$K$1),Persistance!$B:$B,$A42,Persistance!$D:$D,J$5,Persistance!$A:$A,"Business")*1000</f>
        <v>0</v>
      </c>
      <c r="K42" s="51">
        <f ca="1">SUMIFS(OFFSET(Persistance!$K:$K,0,$A$2-Persistance!$K$1),Persistance!$B:$B,$A42,Persistance!$D:$D,K$5,Persistance!$A:$A,"Business")*1000</f>
        <v>0</v>
      </c>
      <c r="L42" s="34">
        <f t="shared" ca="1" si="4"/>
        <v>0</v>
      </c>
      <c r="M42" s="34"/>
      <c r="N42" s="34"/>
      <c r="O42" s="36"/>
      <c r="P42" s="36"/>
      <c r="Q42" s="36"/>
      <c r="R42" s="2"/>
      <c r="S42" s="2"/>
      <c r="T42" s="2"/>
      <c r="U42" s="2"/>
    </row>
    <row r="43" spans="1:21" x14ac:dyDescent="0.25">
      <c r="A43" s="23" t="s">
        <v>71</v>
      </c>
      <c r="B43" s="51">
        <f ca="1">SUMIFS(OFFSET(Persistance!$K:$K,0,$A$2-Persistance!$K$1),Persistance!$B:$B,$A43,Persistance!$D:$D,B$5,Persistance!$A:$A,"Business")*1000</f>
        <v>0</v>
      </c>
      <c r="C43" s="51">
        <f ca="1">SUMIFS(OFFSET(Persistance!$K:$K,0,$A$2-Persistance!$K$1),Persistance!$B:$B,$A43,Persistance!$D:$D,C$5,Persistance!$A:$A,"Business")*1000</f>
        <v>0</v>
      </c>
      <c r="D43" s="51">
        <f ca="1">SUMIFS(OFFSET(Persistance!$K:$K,0,$A$2-Persistance!$K$1),Persistance!$B:$B,$A43,Persistance!$D:$D,D$5,Persistance!$A:$A,"Business")*1000</f>
        <v>0</v>
      </c>
      <c r="E43" s="51">
        <f ca="1">SUMIFS(OFFSET(Persistance!$K:$K,0,$A$2-Persistance!$K$1),Persistance!$B:$B,$A43,Persistance!$D:$D,E$5,Persistance!$A:$A,"Business")*1000</f>
        <v>0</v>
      </c>
      <c r="F43" s="51">
        <f ca="1">SUMIFS(OFFSET(Persistance!$K:$K,0,$A$2-Persistance!$K$1),Persistance!$B:$B,$A43,Persistance!$D:$D,F$5,Persistance!$A:$A,"Business")*1000</f>
        <v>0</v>
      </c>
      <c r="G43" s="51">
        <f ca="1">SUMIFS(OFFSET(Persistance!$K:$K,0,$A$2-Persistance!$K$1),Persistance!$B:$B,$A43,Persistance!$D:$D,G$5,Persistance!$A:$A,"Business")*1000</f>
        <v>0</v>
      </c>
      <c r="H43" s="51">
        <f ca="1">SUMIFS(OFFSET(Persistance!$K:$K,0,$A$2-Persistance!$K$1),Persistance!$B:$B,$A43,Persistance!$D:$D,H$5,Persistance!$A:$A,"Business")*1000</f>
        <v>0</v>
      </c>
      <c r="I43" s="51">
        <f ca="1">SUMIFS(OFFSET(Persistance!$K:$K,0,$A$2-Persistance!$K$1),Persistance!$B:$B,$A43,Persistance!$D:$D,I$5,Persistance!$A:$A,"Business")*1000</f>
        <v>0</v>
      </c>
      <c r="J43" s="51">
        <f ca="1">SUMIFS(OFFSET(Persistance!$K:$K,0,$A$2-Persistance!$K$1),Persistance!$B:$B,$A43,Persistance!$D:$D,J$5,Persistance!$A:$A,"Business")*1000</f>
        <v>0</v>
      </c>
      <c r="K43" s="51">
        <f ca="1">SUMIFS(OFFSET(Persistance!$K:$K,0,$A$2-Persistance!$K$1),Persistance!$B:$B,$A43,Persistance!$D:$D,K$5,Persistance!$A:$A,"Business")*1000</f>
        <v>0</v>
      </c>
      <c r="L43" s="34">
        <f t="shared" ca="1" si="4"/>
        <v>0</v>
      </c>
      <c r="M43" s="34"/>
      <c r="N43" s="34"/>
      <c r="O43" s="36"/>
      <c r="P43" s="36"/>
      <c r="Q43" s="36"/>
      <c r="R43" s="2"/>
      <c r="S43" s="2"/>
      <c r="T43" s="2"/>
      <c r="U43" s="2"/>
    </row>
    <row r="44" spans="1:21" x14ac:dyDescent="0.25">
      <c r="A44" s="23" t="s">
        <v>72</v>
      </c>
      <c r="B44" s="51">
        <f ca="1">SUMIFS(OFFSET(Persistance!$K:$K,0,$A$2-Persistance!$K$1),Persistance!$B:$B,$A44,Persistance!$D:$D,B$5,Persistance!$A:$A,"Business")*1000</f>
        <v>0</v>
      </c>
      <c r="C44" s="51">
        <f ca="1">SUMIFS(OFFSET(Persistance!$K:$K,0,$A$2-Persistance!$K$1),Persistance!$B:$B,$A44,Persistance!$D:$D,C$5,Persistance!$A:$A,"Business")*1000</f>
        <v>0</v>
      </c>
      <c r="D44" s="51">
        <f ca="1">SUMIFS(OFFSET(Persistance!$K:$K,0,$A$2-Persistance!$K$1),Persistance!$B:$B,$A44,Persistance!$D:$D,D$5,Persistance!$A:$A,"Business")*1000</f>
        <v>0</v>
      </c>
      <c r="E44" s="51">
        <f ca="1">SUMIFS(OFFSET(Persistance!$K:$K,0,$A$2-Persistance!$K$1),Persistance!$B:$B,$A44,Persistance!$D:$D,E$5,Persistance!$A:$A,"Business")*1000</f>
        <v>0</v>
      </c>
      <c r="F44" s="51">
        <f ca="1">SUMIFS(OFFSET(Persistance!$K:$K,0,$A$2-Persistance!$K$1),Persistance!$B:$B,$A44,Persistance!$D:$D,F$5,Persistance!$A:$A,"Business")*1000</f>
        <v>0</v>
      </c>
      <c r="G44" s="51">
        <f ca="1">SUMIFS(OFFSET(Persistance!$K:$K,0,$A$2-Persistance!$K$1),Persistance!$B:$B,$A44,Persistance!$D:$D,G$5,Persistance!$A:$A,"Business")*1000</f>
        <v>0</v>
      </c>
      <c r="H44" s="51">
        <f ca="1">SUMIFS(OFFSET(Persistance!$K:$K,0,$A$2-Persistance!$K$1),Persistance!$B:$B,$A44,Persistance!$D:$D,H$5,Persistance!$A:$A,"Business")*1000</f>
        <v>0</v>
      </c>
      <c r="I44" s="51">
        <f ca="1">SUMIFS(OFFSET(Persistance!$K:$K,0,$A$2-Persistance!$K$1),Persistance!$B:$B,$A44,Persistance!$D:$D,I$5,Persistance!$A:$A,"Business")*1000</f>
        <v>0</v>
      </c>
      <c r="J44" s="51">
        <f ca="1">SUMIFS(OFFSET(Persistance!$K:$K,0,$A$2-Persistance!$K$1),Persistance!$B:$B,$A44,Persistance!$D:$D,J$5,Persistance!$A:$A,"Business")*1000</f>
        <v>0</v>
      </c>
      <c r="K44" s="51">
        <f ca="1">SUMIFS(OFFSET(Persistance!$K:$K,0,$A$2-Persistance!$K$1),Persistance!$B:$B,$A44,Persistance!$D:$D,K$5,Persistance!$A:$A,"Business")*1000</f>
        <v>0</v>
      </c>
      <c r="L44" s="34">
        <f t="shared" ca="1" si="4"/>
        <v>0</v>
      </c>
      <c r="M44" s="34"/>
      <c r="N44" s="34"/>
      <c r="O44" s="36"/>
      <c r="P44" s="36"/>
      <c r="Q44" s="36"/>
      <c r="R44" s="2"/>
      <c r="S44" s="2"/>
      <c r="T44" s="2"/>
      <c r="U44" s="2"/>
    </row>
    <row r="45" spans="1:21" x14ac:dyDescent="0.25">
      <c r="A45" s="23" t="s">
        <v>69</v>
      </c>
      <c r="B45" s="51">
        <f ca="1">SUMIFS(OFFSET(Persistance!$K:$K,0,$A$2-Persistance!$K$1),Persistance!$B:$B,$A45,Persistance!$D:$D,B$5,Persistance!$A:$A,"Business")*1000</f>
        <v>0</v>
      </c>
      <c r="C45" s="51">
        <f ca="1">SUMIFS(OFFSET(Persistance!$K:$K,0,$A$2-Persistance!$K$1),Persistance!$B:$B,$A45,Persistance!$D:$D,C$5,Persistance!$A:$A,"Business")*1000</f>
        <v>0</v>
      </c>
      <c r="D45" s="51">
        <f ca="1">SUMIFS(OFFSET(Persistance!$K:$K,0,$A$2-Persistance!$K$1),Persistance!$B:$B,$A45,Persistance!$D:$D,D$5,Persistance!$A:$A,"Business")*1000</f>
        <v>0</v>
      </c>
      <c r="E45" s="51">
        <f ca="1">SUMIFS(OFFSET(Persistance!$K:$K,0,$A$2-Persistance!$K$1),Persistance!$B:$B,$A45,Persistance!$D:$D,E$5,Persistance!$A:$A,"Business")*1000</f>
        <v>0</v>
      </c>
      <c r="F45" s="51">
        <f ca="1">SUMIFS(OFFSET(Persistance!$K:$K,0,$A$2-Persistance!$K$1),Persistance!$B:$B,$A45,Persistance!$D:$D,F$5,Persistance!$A:$A,"Business")*1000</f>
        <v>0</v>
      </c>
      <c r="G45" s="51">
        <f ca="1">SUMIFS(OFFSET(Persistance!$K:$K,0,$A$2-Persistance!$K$1),Persistance!$B:$B,$A45,Persistance!$D:$D,G$5,Persistance!$A:$A,"Business")*1000</f>
        <v>0</v>
      </c>
      <c r="H45" s="51">
        <f ca="1">SUMIFS(OFFSET(Persistance!$K:$K,0,$A$2-Persistance!$K$1),Persistance!$B:$B,$A45,Persistance!$D:$D,H$5,Persistance!$A:$A,"Business")*1000</f>
        <v>0</v>
      </c>
      <c r="I45" s="51">
        <f ca="1">SUMIFS(OFFSET(Persistance!$K:$K,0,$A$2-Persistance!$K$1),Persistance!$B:$B,$A45,Persistance!$D:$D,I$5,Persistance!$A:$A,"Business")*1000</f>
        <v>0</v>
      </c>
      <c r="J45" s="51">
        <f ca="1">SUMIFS(OFFSET(Persistance!$K:$K,0,$A$2-Persistance!$K$1),Persistance!$B:$B,$A45,Persistance!$D:$D,J$5,Persistance!$A:$A,"Business")*1000</f>
        <v>0</v>
      </c>
      <c r="K45" s="51">
        <f ca="1">SUMIFS(OFFSET(Persistance!$K:$K,0,$A$2-Persistance!$K$1),Persistance!$B:$B,$A45,Persistance!$D:$D,K$5,Persistance!$A:$A,"Business")*1000</f>
        <v>0</v>
      </c>
      <c r="L45" s="34">
        <f t="shared" ca="1" si="4"/>
        <v>0</v>
      </c>
      <c r="M45" s="34"/>
      <c r="N45" s="34"/>
      <c r="O45" s="36"/>
      <c r="P45" s="36"/>
      <c r="Q45" s="36"/>
      <c r="R45" s="2"/>
      <c r="S45" s="2"/>
      <c r="T45" s="2"/>
      <c r="U45" s="2"/>
    </row>
    <row r="46" spans="1:21" x14ac:dyDescent="0.25">
      <c r="A46" s="23" t="s">
        <v>14</v>
      </c>
      <c r="B46" s="51">
        <f ca="1">SUMIFS(OFFSET(Persistance!$K:$K,0,$A$2-Persistance!$K$1),Persistance!$B:$B,$A46,Persistance!$D:$D,B$5)*1000*'Retrofit Split'!B$2</f>
        <v>0</v>
      </c>
      <c r="C46" s="51">
        <f ca="1">SUMIFS(OFFSET(Persistance!$K:$K,0,$A$2-Persistance!$K$1),Persistance!$B:$B,$A46,Persistance!$D:$D,C$5)*1000*'Retrofit Split'!C$2</f>
        <v>0</v>
      </c>
      <c r="D46" s="51">
        <f ca="1">SUMIFS(OFFSET(Persistance!$K:$K,0,$A$2-Persistance!$K$1),Persistance!$B:$B,$A46,Persistance!$D:$D,D$5)*1000*'Retrofit Split'!D$2</f>
        <v>0</v>
      </c>
      <c r="E46" s="51">
        <f ca="1">SUMIFS(OFFSET(Persistance!$K:$K,0,$A$2-Persistance!$K$1),Persistance!$B:$B,$A46,Persistance!$D:$D,E$5)*1000*'Retrofit Split'!E$2</f>
        <v>0</v>
      </c>
      <c r="F46" s="51">
        <f ca="1">SUMIFS(OFFSET(Persistance!$K:$K,0,$A$2-Persistance!$K$1),Persistance!$B:$B,$A46,Persistance!$D:$D,F$5)*1000*'Retrofit Split'!F$2</f>
        <v>0</v>
      </c>
      <c r="G46" s="51">
        <f ca="1">SUMIFS(OFFSET(Persistance!$K:$K,0,$A$2-Persistance!$K$1),Persistance!$B:$B,$A46,Persistance!$D:$D,G$5)*1000*'Retrofit Split'!G$2</f>
        <v>0</v>
      </c>
      <c r="H46" s="51">
        <f ca="1">SUMIFS(OFFSET(Persistance!$K:$K,0,$A$2-Persistance!$K$1),Persistance!$B:$B,$A46,Persistance!$D:$D,H$5)*1000*'Retrofit Split'!H$2</f>
        <v>0</v>
      </c>
      <c r="I46" s="51">
        <f ca="1">SUMIFS(OFFSET(Persistance!$K:$K,0,$A$2-Persistance!$K$1),Persistance!$B:$B,$A46,Persistance!$D:$D,I$5)*1000*'Retrofit Split'!I$2</f>
        <v>0</v>
      </c>
      <c r="J46" s="51">
        <f ca="1">SUMIFS(OFFSET(Persistance!$K:$K,0,$A$2-Persistance!$K$1),Persistance!$B:$B,$A46,Persistance!$D:$D,J$5)*1000*'Retrofit Split'!J$2</f>
        <v>0</v>
      </c>
      <c r="K46" s="51">
        <f ca="1">SUMIFS(OFFSET(Persistance!$K:$K,0,$A$2-Persistance!$K$1),Persistance!$B:$B,$A46,Persistance!$D:$D,K$5)*1000*'Retrofit Split'!K$2</f>
        <v>0</v>
      </c>
      <c r="L46" s="34">
        <f t="shared" ca="1" si="4"/>
        <v>0</v>
      </c>
      <c r="M46" s="34"/>
      <c r="N46" s="34"/>
      <c r="O46" s="36"/>
      <c r="P46" s="36"/>
      <c r="Q46" s="36"/>
      <c r="R46" s="2"/>
      <c r="S46" s="2"/>
      <c r="T46" s="2"/>
      <c r="U46" s="2"/>
    </row>
    <row r="47" spans="1:21" x14ac:dyDescent="0.25">
      <c r="A47" s="23" t="s">
        <v>73</v>
      </c>
      <c r="B47" s="51">
        <f ca="1">SUMIFS(OFFSET(Persistance!$K:$K,0,$A$2-Persistance!$K$1),Persistance!$B:$B,$A47,Persistance!$D:$D,B$5,Persistance!$A:$A,"Business")*1000</f>
        <v>0</v>
      </c>
      <c r="C47" s="51">
        <f ca="1">SUMIFS(OFFSET(Persistance!$K:$K,0,$A$2-Persistance!$K$1),Persistance!$B:$B,$A47,Persistance!$D:$D,C$5,Persistance!$A:$A,"Business")*1000</f>
        <v>0</v>
      </c>
      <c r="D47" s="51">
        <f ca="1">SUMIFS(OFFSET(Persistance!$K:$K,0,$A$2-Persistance!$K$1),Persistance!$B:$B,$A47,Persistance!$D:$D,D$5,Persistance!$A:$A,"Business")*1000</f>
        <v>0</v>
      </c>
      <c r="E47" s="51">
        <f ca="1">SUMIFS(OFFSET(Persistance!$K:$K,0,$A$2-Persistance!$K$1),Persistance!$B:$B,$A47,Persistance!$D:$D,E$5,Persistance!$A:$A,"Business")*1000</f>
        <v>0</v>
      </c>
      <c r="F47" s="51">
        <f ca="1">SUMIFS(OFFSET(Persistance!$K:$K,0,$A$2-Persistance!$K$1),Persistance!$B:$B,$A47,Persistance!$D:$D,F$5,Persistance!$A:$A,"Business")*1000</f>
        <v>0</v>
      </c>
      <c r="G47" s="51">
        <f ca="1">SUMIFS(OFFSET(Persistance!$K:$K,0,$A$2-Persistance!$K$1),Persistance!$B:$B,$A47,Persistance!$D:$D,G$5,Persistance!$A:$A,"Business")*1000</f>
        <v>0</v>
      </c>
      <c r="H47" s="51">
        <f ca="1">SUMIFS(OFFSET(Persistance!$K:$K,0,$A$2-Persistance!$K$1),Persistance!$B:$B,$A47,Persistance!$D:$D,H$5,Persistance!$A:$A,"Business")*1000</f>
        <v>0</v>
      </c>
      <c r="I47" s="51">
        <f ca="1">SUMIFS(OFFSET(Persistance!$K:$K,0,$A$2-Persistance!$K$1),Persistance!$B:$B,$A47,Persistance!$D:$D,I$5,Persistance!$A:$A,"Business")*1000</f>
        <v>0</v>
      </c>
      <c r="J47" s="51">
        <f ca="1">SUMIFS(OFFSET(Persistance!$K:$K,0,$A$2-Persistance!$K$1),Persistance!$B:$B,$A47,Persistance!$D:$D,J$5,Persistance!$A:$A,"Business")*1000</f>
        <v>0</v>
      </c>
      <c r="K47" s="51">
        <f ca="1">SUMIFS(OFFSET(Persistance!$K:$K,0,$A$2-Persistance!$K$1),Persistance!$B:$B,$A47,Persistance!$D:$D,K$5,Persistance!$A:$A,"Business")*1000</f>
        <v>0</v>
      </c>
      <c r="L47" s="34">
        <f t="shared" ca="1" si="4"/>
        <v>0</v>
      </c>
      <c r="M47" s="34"/>
      <c r="N47" s="34"/>
      <c r="O47" s="36"/>
      <c r="P47" s="36"/>
      <c r="Q47" s="36"/>
      <c r="R47" s="2"/>
      <c r="S47" s="2"/>
      <c r="T47" s="2"/>
      <c r="U47" s="2"/>
    </row>
    <row r="48" spans="1:21" x14ac:dyDescent="0.25">
      <c r="A48" s="23" t="s">
        <v>36</v>
      </c>
      <c r="B48" s="51">
        <f ca="1">SUMIFS(OFFSET(Persistance!$K:$K,0,$A$2-Persistance!$K$1),Persistance!$B:$B,$A48,Persistance!$D:$D,B$5,Persistance!$A:$A,"Business")*1000</f>
        <v>0</v>
      </c>
      <c r="C48" s="51">
        <f ca="1">SUMIFS(OFFSET(Persistance!$K:$K,0,$A$2-Persistance!$K$1),Persistance!$B:$B,$A48,Persistance!$D:$D,C$5,Persistance!$A:$A,"Business")*1000</f>
        <v>0</v>
      </c>
      <c r="D48" s="51">
        <f ca="1">SUMIFS(OFFSET(Persistance!$K:$K,0,$A$2-Persistance!$K$1),Persistance!$B:$B,$A48,Persistance!$D:$D,D$5,Persistance!$A:$A,"Business")*1000</f>
        <v>0</v>
      </c>
      <c r="E48" s="51">
        <f ca="1">SUMIFS(OFFSET(Persistance!$K:$K,0,$A$2-Persistance!$K$1),Persistance!$B:$B,$A48,Persistance!$D:$D,E$5,Persistance!$A:$A,"Business")*1000</f>
        <v>0</v>
      </c>
      <c r="F48" s="51">
        <f ca="1">SUMIFS(OFFSET(Persistance!$K:$K,0,$A$2-Persistance!$K$1),Persistance!$B:$B,$A48,Persistance!$D:$D,F$5,Persistance!$A:$A,"Business")*1000</f>
        <v>0</v>
      </c>
      <c r="G48" s="51">
        <f ca="1">SUMIFS(OFFSET(Persistance!$K:$K,0,$A$2-Persistance!$K$1),Persistance!$B:$B,$A48,Persistance!$D:$D,G$5,Persistance!$A:$A,"Business")*1000</f>
        <v>0</v>
      </c>
      <c r="H48" s="51">
        <f ca="1">SUMIFS(OFFSET(Persistance!$K:$K,0,$A$2-Persistance!$K$1),Persistance!$B:$B,$A48,Persistance!$D:$D,H$5,Persistance!$A:$A,"Business")*1000</f>
        <v>0</v>
      </c>
      <c r="I48" s="51">
        <f ca="1">SUMIFS(OFFSET(Persistance!$K:$K,0,$A$2-Persistance!$K$1),Persistance!$B:$B,$A48,Persistance!$D:$D,I$5,Persistance!$A:$A,"Business")*1000</f>
        <v>0</v>
      </c>
      <c r="J48" s="51">
        <f ca="1">SUMIFS(OFFSET(Persistance!$K:$K,0,$A$2-Persistance!$K$1),Persistance!$B:$B,$A48,Persistance!$D:$D,J$5,Persistance!$A:$A,"Business")*1000</f>
        <v>0</v>
      </c>
      <c r="K48" s="51">
        <f ca="1">SUMIFS(OFFSET(Persistance!$K:$K,0,$A$2-Persistance!$K$1),Persistance!$B:$B,$A48,Persistance!$D:$D,K$5,Persistance!$A:$A,"Business")*1000</f>
        <v>0</v>
      </c>
      <c r="L48" s="34">
        <f t="shared" ca="1" si="4"/>
        <v>0</v>
      </c>
      <c r="M48" s="34"/>
      <c r="N48" s="34"/>
      <c r="O48" s="36"/>
      <c r="P48" s="36"/>
      <c r="Q48" s="36"/>
      <c r="R48" s="2"/>
      <c r="S48" s="28" t="s">
        <v>49</v>
      </c>
      <c r="T48" s="28" t="s">
        <v>17</v>
      </c>
      <c r="U48" s="2" t="s">
        <v>50</v>
      </c>
    </row>
    <row r="49" spans="1:21" x14ac:dyDescent="0.25">
      <c r="B49" s="29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5"/>
      <c r="O49" s="36"/>
      <c r="P49" s="36"/>
      <c r="Q49" s="36"/>
      <c r="R49" s="2"/>
      <c r="S49" s="29">
        <f ca="1">$A$2</f>
        <v>2012</v>
      </c>
      <c r="T49" s="50">
        <f ca="1">AVERAGEIFS(Rates!E:E,Rates!F:F,'2012'!S49,Rates!G:G,"Business")</f>
        <v>1.34E-2</v>
      </c>
      <c r="U49" s="30">
        <f ca="1">AVERAGEIFS(Rates!B:B,Rates!F:F,'2012'!S49,Rates!G:G,"Business")</f>
        <v>41306</v>
      </c>
    </row>
    <row r="50" spans="1:21" x14ac:dyDescent="0.25">
      <c r="A50" t="s">
        <v>10</v>
      </c>
      <c r="B50" s="64">
        <f t="shared" ref="B50:L50" ca="1" si="5">SUM(B32:B49)</f>
        <v>121356.32838291893</v>
      </c>
      <c r="C50" s="64">
        <f t="shared" ca="1" si="5"/>
        <v>419941.42005513812</v>
      </c>
      <c r="D50" s="64">
        <f t="shared" ca="1" si="5"/>
        <v>0</v>
      </c>
      <c r="E50" s="64">
        <f t="shared" ca="1" si="5"/>
        <v>0</v>
      </c>
      <c r="F50" s="64">
        <f t="shared" ca="1" si="5"/>
        <v>0</v>
      </c>
      <c r="G50" s="64">
        <f t="shared" ca="1" si="5"/>
        <v>0</v>
      </c>
      <c r="H50" s="64">
        <f t="shared" ca="1" si="5"/>
        <v>0</v>
      </c>
      <c r="I50" s="64">
        <f t="shared" ca="1" si="5"/>
        <v>0</v>
      </c>
      <c r="J50" s="64">
        <f t="shared" ca="1" si="5"/>
        <v>0</v>
      </c>
      <c r="K50" s="64">
        <f t="shared" ca="1" si="5"/>
        <v>0</v>
      </c>
      <c r="L50" s="64">
        <f t="shared" ca="1" si="5"/>
        <v>541297.74843805702</v>
      </c>
      <c r="M50" s="64">
        <v>0</v>
      </c>
      <c r="N50" s="64">
        <f ca="1">(((MONTH(U49)-1)/12)*T50)+(((12-(MONTH(U49)-1))/12)*T49)</f>
        <v>1.3391666666666666E-2</v>
      </c>
      <c r="O50" s="64">
        <f ca="1">ROUND(L50*N50,2)</f>
        <v>7248.88</v>
      </c>
      <c r="P50" s="64">
        <f ca="1">ROUND(M50*N50,2)</f>
        <v>0</v>
      </c>
      <c r="Q50" s="64">
        <f ca="1">+O50-P50</f>
        <v>7248.88</v>
      </c>
      <c r="R50" s="2"/>
      <c r="S50" s="29">
        <f ca="1">S49-1</f>
        <v>2011</v>
      </c>
      <c r="T50" s="50">
        <f ca="1">AVERAGEIFS(Rates!E:E,Rates!F:F,'2012'!S50,Rates!G:G,"Business")</f>
        <v>1.3299999999999999E-2</v>
      </c>
      <c r="U50" s="2"/>
    </row>
    <row r="51" spans="1:21" x14ac:dyDescent="0.25">
      <c r="B51" s="29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5"/>
      <c r="O51" s="36"/>
      <c r="P51" s="36"/>
      <c r="Q51" s="36"/>
      <c r="R51" s="2"/>
      <c r="S51" s="2"/>
      <c r="T51" s="2"/>
      <c r="U51" s="2"/>
    </row>
    <row r="52" spans="1:21" x14ac:dyDescent="0.25">
      <c r="A52" t="s">
        <v>44</v>
      </c>
      <c r="B52" s="51">
        <f ca="1">SUMIFS(OFFSET(Persistance!$F:$F,0,$A$2-Persistance!$K$1),Persistance!$B:$B,'2012'!$A52,Persistance!$D:$D,'2012'!B$5,Persistance!$A:$A,"Industrial")*1000</f>
        <v>0</v>
      </c>
      <c r="C52" s="51">
        <f ca="1">SUMIFS(OFFSET(Persistance!$F:$F,0,$A$2-Persistance!$K$1),Persistance!$B:$B,'2012'!$A52,Persistance!$D:$D,'2012'!C$5,Persistance!$A:$A,"Industrial")*1000</f>
        <v>0</v>
      </c>
      <c r="D52" s="51">
        <f ca="1">SUMIFS(OFFSET(Persistance!$F:$F,0,$A$2-Persistance!$K$1),Persistance!$B:$B,'2012'!$A52,Persistance!$D:$D,'2012'!D$5,Persistance!$A:$A,"Industrial")*1000</f>
        <v>0</v>
      </c>
      <c r="E52" s="51">
        <f ca="1">SUMIFS(OFFSET(Persistance!$F:$F,0,$A$2-Persistance!$K$1),Persistance!$B:$B,'2012'!$A52,Persistance!$D:$D,'2012'!E$5,Persistance!$A:$A,"Industrial")*1000</f>
        <v>0</v>
      </c>
      <c r="F52" s="51">
        <f ca="1">SUMIFS(OFFSET(Persistance!$F:$F,0,$A$2-Persistance!$K$1),Persistance!$B:$B,'2012'!$A52,Persistance!$D:$D,'2012'!F$5,Persistance!$A:$A,"Industrial")*1000</f>
        <v>0</v>
      </c>
      <c r="G52" s="51">
        <f ca="1">SUMIFS(OFFSET(Persistance!$F:$F,0,$A$2-Persistance!$K$1),Persistance!$B:$B,'2012'!$A52,Persistance!$D:$D,'2012'!G$5,Persistance!$A:$A,"Industrial")*1000</f>
        <v>0</v>
      </c>
      <c r="H52" s="51">
        <f ca="1">SUMIFS(OFFSET(Persistance!$F:$F,0,$A$2-Persistance!$K$1),Persistance!$B:$B,'2012'!$A52,Persistance!$D:$D,'2012'!H$5,Persistance!$A:$A,"Industrial")*1000</f>
        <v>0</v>
      </c>
      <c r="I52" s="51">
        <f ca="1">SUMIFS(OFFSET(Persistance!$F:$F,0,$A$2-Persistance!$K$1),Persistance!$B:$B,'2012'!$A52,Persistance!$D:$D,'2012'!I$5,Persistance!$A:$A,"Industrial")*1000</f>
        <v>0</v>
      </c>
      <c r="J52" s="51">
        <f ca="1">SUMIFS(OFFSET(Persistance!$F:$F,0,$A$2-Persistance!$K$1),Persistance!$B:$B,'2012'!$A52,Persistance!$D:$D,'2012'!J$5,Persistance!$A:$A,"Industrial")*1000</f>
        <v>0</v>
      </c>
      <c r="K52" s="51">
        <f ca="1">SUMIFS(OFFSET(Persistance!$F:$F,0,$A$2-Persistance!$K$1),Persistance!$B:$B,'2012'!$A52,Persistance!$D:$D,'2012'!K$5,Persistance!$A:$A,"Industrial")*1000</f>
        <v>0</v>
      </c>
      <c r="L52" s="34">
        <v>0</v>
      </c>
      <c r="M52" s="52" t="s">
        <v>88</v>
      </c>
      <c r="N52" s="35"/>
      <c r="O52" s="36"/>
      <c r="P52" s="36"/>
      <c r="Q52" s="36"/>
      <c r="R52" s="2"/>
      <c r="S52" s="2"/>
      <c r="T52" s="2"/>
      <c r="U52" s="2"/>
    </row>
    <row r="53" spans="1:21" x14ac:dyDescent="0.25">
      <c r="A53" t="s">
        <v>42</v>
      </c>
      <c r="B53" s="51">
        <f ca="1">SUMIFS(OFFSET(Persistance!$F:$F,0,$A$2-Persistance!$K$1),Persistance!$B:$B,'2012'!$A53,Persistance!$D:$D,'2012'!B$5,Persistance!$A:$A,"Industrial")*1000</f>
        <v>0</v>
      </c>
      <c r="C53" s="51">
        <f ca="1">SUMIFS(OFFSET(Persistance!$F:$F,0,$A$2-Persistance!$K$1),Persistance!$B:$B,'2012'!$A53,Persistance!$D:$D,'2012'!C$5,Persistance!$A:$A,"Industrial")*1000</f>
        <v>0</v>
      </c>
      <c r="D53" s="51">
        <f ca="1">SUMIFS(OFFSET(Persistance!$F:$F,0,$A$2-Persistance!$K$1),Persistance!$B:$B,'2012'!$A53,Persistance!$D:$D,'2012'!D$5,Persistance!$A:$A,"Industrial")*1000</f>
        <v>0</v>
      </c>
      <c r="E53" s="51">
        <f ca="1">SUMIFS(OFFSET(Persistance!$F:$F,0,$A$2-Persistance!$K$1),Persistance!$B:$B,'2012'!$A53,Persistance!$D:$D,'2012'!E$5,Persistance!$A:$A,"Industrial")*1000</f>
        <v>0</v>
      </c>
      <c r="F53" s="51">
        <f ca="1">SUMIFS(OFFSET(Persistance!$F:$F,0,$A$2-Persistance!$K$1),Persistance!$B:$B,'2012'!$A53,Persistance!$D:$D,'2012'!F$5,Persistance!$A:$A,"Industrial")*1000</f>
        <v>0</v>
      </c>
      <c r="G53" s="51">
        <f ca="1">SUMIFS(OFFSET(Persistance!$F:$F,0,$A$2-Persistance!$K$1),Persistance!$B:$B,'2012'!$A53,Persistance!$D:$D,'2012'!G$5,Persistance!$A:$A,"Industrial")*1000</f>
        <v>0</v>
      </c>
      <c r="H53" s="51">
        <f ca="1">SUMIFS(OFFSET(Persistance!$F:$F,0,$A$2-Persistance!$K$1),Persistance!$B:$B,'2012'!$A53,Persistance!$D:$D,'2012'!H$5,Persistance!$A:$A,"Industrial")*1000</f>
        <v>0</v>
      </c>
      <c r="I53" s="51">
        <f ca="1">SUMIFS(OFFSET(Persistance!$F:$F,0,$A$2-Persistance!$K$1),Persistance!$B:$B,'2012'!$A53,Persistance!$D:$D,'2012'!I$5,Persistance!$A:$A,"Industrial")*1000</f>
        <v>0</v>
      </c>
      <c r="J53" s="51">
        <f ca="1">SUMIFS(OFFSET(Persistance!$F:$F,0,$A$2-Persistance!$K$1),Persistance!$B:$B,'2012'!$A53,Persistance!$D:$D,'2012'!J$5,Persistance!$A:$A,"Industrial")*1000</f>
        <v>0</v>
      </c>
      <c r="K53" s="51">
        <f ca="1">SUMIFS(OFFSET(Persistance!$F:$F,0,$A$2-Persistance!$K$1),Persistance!$B:$B,'2012'!$A53,Persistance!$D:$D,'2012'!K$5,Persistance!$A:$A,"Industrial")*1000</f>
        <v>0</v>
      </c>
      <c r="L53" s="34">
        <v>0</v>
      </c>
      <c r="M53" s="52" t="s">
        <v>88</v>
      </c>
      <c r="N53" s="35"/>
      <c r="O53" s="36"/>
      <c r="P53" s="36"/>
      <c r="Q53" s="36"/>
      <c r="R53" s="2"/>
      <c r="S53" s="2"/>
      <c r="T53" s="2"/>
      <c r="U53" s="2"/>
    </row>
    <row r="54" spans="1:21" x14ac:dyDescent="0.25">
      <c r="A54" t="s">
        <v>59</v>
      </c>
      <c r="B54" s="51">
        <f ca="1">SUMIFS(OFFSET(Persistance!$F:$F,0,$A$2-Persistance!$K$1),Persistance!$B:$B,'2012'!$A54,Persistance!$D:$D,'2012'!B$5,Persistance!$A:$A,"Industrial")*1000</f>
        <v>0</v>
      </c>
      <c r="C54" s="51">
        <f ca="1">SUMIFS(OFFSET(Persistance!$F:$F,0,$A$2-Persistance!$K$1),Persistance!$B:$B,'2012'!$A54,Persistance!$D:$D,'2012'!C$5,Persistance!$A:$A,"Industrial")*1000</f>
        <v>0</v>
      </c>
      <c r="D54" s="51">
        <f ca="1">SUMIFS(OFFSET(Persistance!$F:$F,0,$A$2-Persistance!$K$1),Persistance!$B:$B,'2012'!$A54,Persistance!$D:$D,'2012'!D$5,Persistance!$A:$A,"Industrial")*1000</f>
        <v>0</v>
      </c>
      <c r="E54" s="51">
        <f ca="1">SUMIFS(OFFSET(Persistance!$F:$F,0,$A$2-Persistance!$K$1),Persistance!$B:$B,'2012'!$A54,Persistance!$D:$D,'2012'!E$5,Persistance!$A:$A,"Industrial")*1000</f>
        <v>0</v>
      </c>
      <c r="F54" s="51">
        <f ca="1">SUMIFS(OFFSET(Persistance!$F:$F,0,$A$2-Persistance!$K$1),Persistance!$B:$B,'2012'!$A54,Persistance!$D:$D,'2012'!F$5,Persistance!$A:$A,"Industrial")*1000</f>
        <v>0</v>
      </c>
      <c r="G54" s="51">
        <f ca="1">SUMIFS(OFFSET(Persistance!$F:$F,0,$A$2-Persistance!$K$1),Persistance!$B:$B,'2012'!$A54,Persistance!$D:$D,'2012'!G$5,Persistance!$A:$A,"Industrial")*1000</f>
        <v>0</v>
      </c>
      <c r="H54" s="51">
        <f ca="1">SUMIFS(OFFSET(Persistance!$F:$F,0,$A$2-Persistance!$K$1),Persistance!$B:$B,'2012'!$A54,Persistance!$D:$D,'2012'!H$5,Persistance!$A:$A,"Industrial")*1000</f>
        <v>0</v>
      </c>
      <c r="I54" s="51">
        <f ca="1">SUMIFS(OFFSET(Persistance!$F:$F,0,$A$2-Persistance!$K$1),Persistance!$B:$B,'2012'!$A54,Persistance!$D:$D,'2012'!I$5,Persistance!$A:$A,"Industrial")*1000</f>
        <v>0</v>
      </c>
      <c r="J54" s="51">
        <f ca="1">SUMIFS(OFFSET(Persistance!$F:$F,0,$A$2-Persistance!$K$1),Persistance!$B:$B,'2012'!$A54,Persistance!$D:$D,'2012'!J$5,Persistance!$A:$A,"Industrial")*1000</f>
        <v>0</v>
      </c>
      <c r="K54" s="51">
        <f ca="1">SUMIFS(OFFSET(Persistance!$F:$F,0,$A$2-Persistance!$K$1),Persistance!$B:$B,'2012'!$A54,Persistance!$D:$D,'2012'!K$5,Persistance!$A:$A,"Industrial")*1000</f>
        <v>0</v>
      </c>
      <c r="L54" s="34">
        <f ca="1">SUM(B54:K54)*3</f>
        <v>0</v>
      </c>
      <c r="M54" s="52" t="s">
        <v>89</v>
      </c>
      <c r="N54" s="35"/>
      <c r="O54" s="36"/>
      <c r="P54" s="36"/>
      <c r="Q54" s="36"/>
      <c r="R54" s="2"/>
      <c r="S54" s="2"/>
      <c r="T54" s="2"/>
      <c r="U54" s="2"/>
    </row>
    <row r="55" spans="1:21" x14ac:dyDescent="0.25">
      <c r="A55" s="23" t="s">
        <v>56</v>
      </c>
      <c r="B55" s="51">
        <f ca="1">SUMIFS(OFFSET(Persistance!$F:$F,0,$A$2-Persistance!$K$1),Persistance!$B:$B,'2012'!$A55,Persistance!$D:$D,'2012'!B$5,Persistance!$A:$A,"Industrial")*1000</f>
        <v>0</v>
      </c>
      <c r="C55" s="51">
        <f ca="1">SUMIFS(OFFSET(Persistance!$F:$F,0,$A$2-Persistance!$K$1),Persistance!$B:$B,'2012'!$A55,Persistance!$D:$D,'2012'!C$5,Persistance!$A:$A,"Industrial")*1000</f>
        <v>0</v>
      </c>
      <c r="D55" s="51">
        <f ca="1">SUMIFS(OFFSET(Persistance!$F:$F,0,$A$2-Persistance!$K$1),Persistance!$B:$B,'2012'!$A55,Persistance!$D:$D,'2012'!D$5,Persistance!$A:$A,"Industrial")*1000</f>
        <v>0</v>
      </c>
      <c r="E55" s="51">
        <f ca="1">SUMIFS(OFFSET(Persistance!$F:$F,0,$A$2-Persistance!$K$1),Persistance!$B:$B,'2012'!$A55,Persistance!$D:$D,'2012'!E$5,Persistance!$A:$A,"Industrial")*1000</f>
        <v>0</v>
      </c>
      <c r="F55" s="51">
        <f ca="1">SUMIFS(OFFSET(Persistance!$F:$F,0,$A$2-Persistance!$K$1),Persistance!$B:$B,'2012'!$A55,Persistance!$D:$D,'2012'!F$5,Persistance!$A:$A,"Industrial")*1000</f>
        <v>0</v>
      </c>
      <c r="G55" s="51">
        <f ca="1">SUMIFS(OFFSET(Persistance!$F:$F,0,$A$2-Persistance!$K$1),Persistance!$B:$B,'2012'!$A55,Persistance!$D:$D,'2012'!G$5,Persistance!$A:$A,"Industrial")*1000</f>
        <v>0</v>
      </c>
      <c r="H55" s="51">
        <f ca="1">SUMIFS(OFFSET(Persistance!$F:$F,0,$A$2-Persistance!$K$1),Persistance!$B:$B,'2012'!$A55,Persistance!$D:$D,'2012'!H$5,Persistance!$A:$A,"Industrial")*1000</f>
        <v>0</v>
      </c>
      <c r="I55" s="51">
        <f ca="1">SUMIFS(OFFSET(Persistance!$F:$F,0,$A$2-Persistance!$K$1),Persistance!$B:$B,'2012'!$A55,Persistance!$D:$D,'2012'!I$5,Persistance!$A:$A,"Industrial")*1000</f>
        <v>0</v>
      </c>
      <c r="J55" s="51">
        <f ca="1">SUMIFS(OFFSET(Persistance!$F:$F,0,$A$2-Persistance!$K$1),Persistance!$B:$B,'2012'!$A55,Persistance!$D:$D,'2012'!J$5,Persistance!$A:$A,"Industrial")*1000</f>
        <v>0</v>
      </c>
      <c r="K55" s="51">
        <f ca="1">SUMIFS(OFFSET(Persistance!$F:$F,0,$A$2-Persistance!$K$1),Persistance!$B:$B,'2012'!$A55,Persistance!$D:$D,'2012'!K$5,Persistance!$A:$A,"Industrial")*1000</f>
        <v>0</v>
      </c>
      <c r="L55" s="34">
        <f t="shared" ref="L55" ca="1" si="6">SUM(B55:K55)*12</f>
        <v>0</v>
      </c>
      <c r="M55" s="34"/>
      <c r="N55" s="35"/>
      <c r="O55" s="36"/>
      <c r="P55" s="36"/>
      <c r="Q55" s="36"/>
      <c r="R55" s="2"/>
      <c r="S55" s="2"/>
      <c r="T55" s="2"/>
      <c r="U55" s="2"/>
    </row>
    <row r="56" spans="1:21" x14ac:dyDescent="0.25">
      <c r="A56" t="s">
        <v>64</v>
      </c>
      <c r="B56" s="51">
        <f ca="1">SUMIFS(OFFSET(Persistance!$F:$F,0,$A$2-Persistance!$K$1),Persistance!$B:$B,'2012'!$A56,Persistance!$D:$D,'2012'!B$5,Persistance!$A:$A,"Industrial")*1000</f>
        <v>0</v>
      </c>
      <c r="C56" s="51">
        <f ca="1">SUMIFS(OFFSET(Persistance!$F:$F,0,$A$2-Persistance!$K$1),Persistance!$B:$B,'2012'!$A56,Persistance!$D:$D,'2012'!C$5,Persistance!$A:$A,"Industrial")*1000</f>
        <v>0</v>
      </c>
      <c r="D56" s="51">
        <f ca="1">SUMIFS(OFFSET(Persistance!$F:$F,0,$A$2-Persistance!$K$1),Persistance!$B:$B,'2012'!$A56,Persistance!$D:$D,'2012'!D$5,Persistance!$A:$A,"Industrial")*1000</f>
        <v>0</v>
      </c>
      <c r="E56" s="51">
        <f ca="1">SUMIFS(OFFSET(Persistance!$F:$F,0,$A$2-Persistance!$K$1),Persistance!$B:$B,'2012'!$A56,Persistance!$D:$D,'2012'!E$5,Persistance!$A:$A,"Industrial")*1000</f>
        <v>0</v>
      </c>
      <c r="F56" s="51">
        <f ca="1">SUMIFS(OFFSET(Persistance!$F:$F,0,$A$2-Persistance!$K$1),Persistance!$B:$B,'2012'!$A56,Persistance!$D:$D,'2012'!F$5,Persistance!$A:$A,"Industrial")*1000</f>
        <v>0</v>
      </c>
      <c r="G56" s="51">
        <f ca="1">SUMIFS(OFFSET(Persistance!$F:$F,0,$A$2-Persistance!$K$1),Persistance!$B:$B,'2012'!$A56,Persistance!$D:$D,'2012'!G$5,Persistance!$A:$A,"Industrial")*1000</f>
        <v>0</v>
      </c>
      <c r="H56" s="51">
        <f ca="1">SUMIFS(OFFSET(Persistance!$F:$F,0,$A$2-Persistance!$K$1),Persistance!$B:$B,'2012'!$A56,Persistance!$D:$D,'2012'!H$5,Persistance!$A:$A,"Industrial")*1000</f>
        <v>0</v>
      </c>
      <c r="I56" s="51">
        <f ca="1">SUMIFS(OFFSET(Persistance!$F:$F,0,$A$2-Persistance!$K$1),Persistance!$B:$B,'2012'!$A56,Persistance!$D:$D,'2012'!I$5,Persistance!$A:$A,"Industrial")*1000</f>
        <v>0</v>
      </c>
      <c r="J56" s="51">
        <f ca="1">SUMIFS(OFFSET(Persistance!$F:$F,0,$A$2-Persistance!$K$1),Persistance!$B:$B,'2012'!$A56,Persistance!$D:$D,'2012'!J$5,Persistance!$A:$A,"Industrial")*1000</f>
        <v>0</v>
      </c>
      <c r="K56" s="51">
        <f ca="1">SUMIFS(OFFSET(Persistance!$F:$F,0,$A$2-Persistance!$K$1),Persistance!$B:$B,'2012'!$A56,Persistance!$D:$D,'2012'!K$5,Persistance!$A:$A,"Industrial")*1000</f>
        <v>0</v>
      </c>
      <c r="L56" s="34">
        <f ca="1">SUM(B56:K56)*12</f>
        <v>0</v>
      </c>
      <c r="M56" s="34"/>
      <c r="N56" s="35"/>
      <c r="O56" s="36"/>
      <c r="P56" s="36"/>
      <c r="Q56" s="36"/>
      <c r="R56" s="2"/>
      <c r="S56" s="2"/>
      <c r="T56" s="2"/>
      <c r="U56" s="2"/>
    </row>
    <row r="57" spans="1:21" x14ac:dyDescent="0.25">
      <c r="A57" s="23" t="s">
        <v>8</v>
      </c>
      <c r="B57" s="51">
        <f ca="1">SUMIFS(OFFSET(Persistance!$F:$F,0,$A$2-Persistance!$K$1),Persistance!$B:$B,'2012'!$A57,Persistance!$D:$D,'2012'!B$5,Persistance!$A:$A,"Industrial")*1000</f>
        <v>0</v>
      </c>
      <c r="C57" s="51">
        <f ca="1">SUMIFS(OFFSET(Persistance!$F:$F,0,$A$2-Persistance!$K$1),Persistance!$B:$B,'2012'!$A57,Persistance!$D:$D,'2012'!C$5,Persistance!$A:$A,"Industrial")*1000</f>
        <v>0</v>
      </c>
      <c r="D57" s="51">
        <f ca="1">SUMIFS(OFFSET(Persistance!$F:$F,0,$A$2-Persistance!$K$1),Persistance!$B:$B,'2012'!$A57,Persistance!$D:$D,'2012'!D$5,Persistance!$A:$A,"Industrial")*1000</f>
        <v>0</v>
      </c>
      <c r="E57" s="51">
        <f ca="1">SUMIFS(OFFSET(Persistance!$F:$F,0,$A$2-Persistance!$K$1),Persistance!$B:$B,'2012'!$A57,Persistance!$D:$D,'2012'!E$5,Persistance!$A:$A,"Industrial")*1000</f>
        <v>0</v>
      </c>
      <c r="F57" s="51">
        <f ca="1">SUMIFS(OFFSET(Persistance!$F:$F,0,$A$2-Persistance!$K$1),Persistance!$B:$B,'2012'!$A57,Persistance!$D:$D,'2012'!F$5,Persistance!$A:$A,"Industrial")*1000</f>
        <v>0</v>
      </c>
      <c r="G57" s="51">
        <f ca="1">SUMIFS(OFFSET(Persistance!$F:$F,0,$A$2-Persistance!$K$1),Persistance!$B:$B,'2012'!$A57,Persistance!$D:$D,'2012'!G$5,Persistance!$A:$A,"Industrial")*1000</f>
        <v>0</v>
      </c>
      <c r="H57" s="51">
        <f ca="1">SUMIFS(OFFSET(Persistance!$F:$F,0,$A$2-Persistance!$K$1),Persistance!$B:$B,'2012'!$A57,Persistance!$D:$D,'2012'!H$5,Persistance!$A:$A,"Industrial")*1000</f>
        <v>0</v>
      </c>
      <c r="I57" s="51">
        <f ca="1">SUMIFS(OFFSET(Persistance!$F:$F,0,$A$2-Persistance!$K$1),Persistance!$B:$B,'2012'!$A57,Persistance!$D:$D,'2012'!I$5,Persistance!$A:$A,"Industrial")*1000</f>
        <v>0</v>
      </c>
      <c r="J57" s="51">
        <f ca="1">SUMIFS(OFFSET(Persistance!$F:$F,0,$A$2-Persistance!$K$1),Persistance!$B:$B,'2012'!$A57,Persistance!$D:$D,'2012'!J$5,Persistance!$A:$A,"Industrial")*1000</f>
        <v>0</v>
      </c>
      <c r="K57" s="51">
        <f ca="1">SUMIFS(OFFSET(Persistance!$F:$F,0,$A$2-Persistance!$K$1),Persistance!$B:$B,'2012'!$A57,Persistance!$D:$D,'2012'!K$5,Persistance!$A:$A,"Industrial")*1000</f>
        <v>0</v>
      </c>
      <c r="L57" s="34">
        <f ca="1">SUM(B57:K57)*12</f>
        <v>0</v>
      </c>
      <c r="M57" s="34"/>
      <c r="N57" s="35"/>
      <c r="O57" s="36"/>
      <c r="P57" s="36"/>
      <c r="Q57" s="36"/>
      <c r="R57" s="2"/>
      <c r="S57" s="2"/>
      <c r="T57" s="2"/>
      <c r="U57" s="2"/>
    </row>
    <row r="58" spans="1:21" x14ac:dyDescent="0.25">
      <c r="A58" t="s">
        <v>61</v>
      </c>
      <c r="B58" s="51">
        <f ca="1">SUMIFS(OFFSET(Persistance!$F:$F,0,$A$2-Persistance!$K$1),Persistance!$B:$B,'2012'!$A58,Persistance!$D:$D,'2012'!B$5,Persistance!$A:$A,"Industrial")*1000</f>
        <v>0</v>
      </c>
      <c r="C58" s="51">
        <f ca="1">SUMIFS(OFFSET(Persistance!$F:$F,0,$A$2-Persistance!$K$1),Persistance!$B:$B,'2012'!$A58,Persistance!$D:$D,'2012'!C$5,Persistance!$A:$A,"Industrial")*1000</f>
        <v>0</v>
      </c>
      <c r="D58" s="51">
        <f ca="1">SUMIFS(OFFSET(Persistance!$F:$F,0,$A$2-Persistance!$K$1),Persistance!$B:$B,'2012'!$A58,Persistance!$D:$D,'2012'!D$5,Persistance!$A:$A,"Industrial")*1000</f>
        <v>0</v>
      </c>
      <c r="E58" s="51">
        <f ca="1">SUMIFS(OFFSET(Persistance!$F:$F,0,$A$2-Persistance!$K$1),Persistance!$B:$B,'2012'!$A58,Persistance!$D:$D,'2012'!E$5,Persistance!$A:$A,"Industrial")*1000</f>
        <v>0</v>
      </c>
      <c r="F58" s="51">
        <f ca="1">SUMIFS(OFFSET(Persistance!$F:$F,0,$A$2-Persistance!$K$1),Persistance!$B:$B,'2012'!$A58,Persistance!$D:$D,'2012'!F$5,Persistance!$A:$A,"Industrial")*1000</f>
        <v>0</v>
      </c>
      <c r="G58" s="51">
        <f ca="1">SUMIFS(OFFSET(Persistance!$F:$F,0,$A$2-Persistance!$K$1),Persistance!$B:$B,'2012'!$A58,Persistance!$D:$D,'2012'!G$5,Persistance!$A:$A,"Industrial")*1000</f>
        <v>0</v>
      </c>
      <c r="H58" s="51">
        <f ca="1">SUMIFS(OFFSET(Persistance!$F:$F,0,$A$2-Persistance!$K$1),Persistance!$B:$B,'2012'!$A58,Persistance!$D:$D,'2012'!H$5,Persistance!$A:$A,"Industrial")*1000</f>
        <v>0</v>
      </c>
      <c r="I58" s="51">
        <f ca="1">SUMIFS(OFFSET(Persistance!$F:$F,0,$A$2-Persistance!$K$1),Persistance!$B:$B,'2012'!$A58,Persistance!$D:$D,'2012'!I$5,Persistance!$A:$A,"Industrial")*1000</f>
        <v>0</v>
      </c>
      <c r="J58" s="51">
        <f ca="1">SUMIFS(OFFSET(Persistance!$F:$F,0,$A$2-Persistance!$K$1),Persistance!$B:$B,'2012'!$A58,Persistance!$D:$D,'2012'!J$5,Persistance!$A:$A,"Industrial")*1000</f>
        <v>0</v>
      </c>
      <c r="K58" s="51">
        <f ca="1">SUMIFS(OFFSET(Persistance!$F:$F,0,$A$2-Persistance!$K$1),Persistance!$B:$B,'2012'!$A58,Persistance!$D:$D,'2012'!K$5,Persistance!$A:$A,"Industrial")*1000</f>
        <v>0</v>
      </c>
      <c r="L58" s="34">
        <f t="shared" ref="L58:L61" ca="1" si="7">SUM(B58:K58)*12</f>
        <v>0</v>
      </c>
      <c r="M58" s="34"/>
      <c r="N58" s="35"/>
      <c r="O58" s="36"/>
      <c r="P58" s="36"/>
      <c r="Q58" s="36"/>
      <c r="R58" s="2"/>
      <c r="S58" s="2"/>
      <c r="T58" s="2"/>
      <c r="U58" s="2"/>
    </row>
    <row r="59" spans="1:21" x14ac:dyDescent="0.25">
      <c r="A59" t="s">
        <v>62</v>
      </c>
      <c r="B59" s="51">
        <f ca="1">SUMIFS(OFFSET(Persistance!$F:$F,0,$A$2-Persistance!$K$1),Persistance!$B:$B,'2012'!$A59,Persistance!$D:$D,'2012'!B$5,Persistance!$A:$A,"Industrial")*1000</f>
        <v>0</v>
      </c>
      <c r="C59" s="51">
        <f ca="1">SUMIFS(OFFSET(Persistance!$F:$F,0,$A$2-Persistance!$K$1),Persistance!$B:$B,'2012'!$A59,Persistance!$D:$D,'2012'!C$5,Persistance!$A:$A,"Industrial")*1000</f>
        <v>0</v>
      </c>
      <c r="D59" s="51">
        <f ca="1">SUMIFS(OFFSET(Persistance!$F:$F,0,$A$2-Persistance!$K$1),Persistance!$B:$B,'2012'!$A59,Persistance!$D:$D,'2012'!D$5,Persistance!$A:$A,"Industrial")*1000</f>
        <v>0</v>
      </c>
      <c r="E59" s="51">
        <f ca="1">SUMIFS(OFFSET(Persistance!$F:$F,0,$A$2-Persistance!$K$1),Persistance!$B:$B,'2012'!$A59,Persistance!$D:$D,'2012'!E$5,Persistance!$A:$A,"Industrial")*1000</f>
        <v>0</v>
      </c>
      <c r="F59" s="51">
        <f ca="1">SUMIFS(OFFSET(Persistance!$F:$F,0,$A$2-Persistance!$K$1),Persistance!$B:$B,'2012'!$A59,Persistance!$D:$D,'2012'!F$5,Persistance!$A:$A,"Industrial")*1000</f>
        <v>0</v>
      </c>
      <c r="G59" s="51">
        <f ca="1">SUMIFS(OFFSET(Persistance!$F:$F,0,$A$2-Persistance!$K$1),Persistance!$B:$B,'2012'!$A59,Persistance!$D:$D,'2012'!G$5,Persistance!$A:$A,"Industrial")*1000</f>
        <v>0</v>
      </c>
      <c r="H59" s="51">
        <f ca="1">SUMIFS(OFFSET(Persistance!$F:$F,0,$A$2-Persistance!$K$1),Persistance!$B:$B,'2012'!$A59,Persistance!$D:$D,'2012'!H$5,Persistance!$A:$A,"Industrial")*1000</f>
        <v>0</v>
      </c>
      <c r="I59" s="51">
        <f ca="1">SUMIFS(OFFSET(Persistance!$F:$F,0,$A$2-Persistance!$K$1),Persistance!$B:$B,'2012'!$A59,Persistance!$D:$D,'2012'!I$5,Persistance!$A:$A,"Industrial")*1000</f>
        <v>0</v>
      </c>
      <c r="J59" s="51">
        <f ca="1">SUMIFS(OFFSET(Persistance!$F:$F,0,$A$2-Persistance!$K$1),Persistance!$B:$B,'2012'!$A59,Persistance!$D:$D,'2012'!J$5,Persistance!$A:$A,"Industrial")*1000</f>
        <v>0</v>
      </c>
      <c r="K59" s="51">
        <f ca="1">SUMIFS(OFFSET(Persistance!$F:$F,0,$A$2-Persistance!$K$1),Persistance!$B:$B,'2012'!$A59,Persistance!$D:$D,'2012'!K$5,Persistance!$A:$A,"Industrial")*1000</f>
        <v>0</v>
      </c>
      <c r="L59" s="34">
        <f t="shared" ca="1" si="7"/>
        <v>0</v>
      </c>
      <c r="M59" s="34"/>
      <c r="N59" s="35"/>
      <c r="O59" s="36"/>
      <c r="P59" s="36"/>
      <c r="Q59" s="36"/>
      <c r="R59" s="2"/>
      <c r="S59" s="2"/>
      <c r="T59" s="2"/>
      <c r="U59" s="2"/>
    </row>
    <row r="60" spans="1:21" x14ac:dyDescent="0.25">
      <c r="A60" t="s">
        <v>60</v>
      </c>
      <c r="B60" s="51">
        <f ca="1">SUMIFS(OFFSET(Persistance!$F:$F,0,$A$2-Persistance!$K$1),Persistance!$B:$B,'2012'!$A60,Persistance!$D:$D,'2012'!B$5,Persistance!$A:$A,"Industrial")*1000</f>
        <v>0</v>
      </c>
      <c r="C60" s="51">
        <f ca="1">SUMIFS(OFFSET(Persistance!$F:$F,0,$A$2-Persistance!$K$1),Persistance!$B:$B,'2012'!$A60,Persistance!$D:$D,'2012'!C$5,Persistance!$A:$A,"Industrial")*1000</f>
        <v>0</v>
      </c>
      <c r="D60" s="51">
        <f ca="1">SUMIFS(OFFSET(Persistance!$F:$F,0,$A$2-Persistance!$K$1),Persistance!$B:$B,'2012'!$A60,Persistance!$D:$D,'2012'!D$5,Persistance!$A:$A,"Industrial")*1000</f>
        <v>0</v>
      </c>
      <c r="E60" s="51">
        <f ca="1">SUMIFS(OFFSET(Persistance!$F:$F,0,$A$2-Persistance!$K$1),Persistance!$B:$B,'2012'!$A60,Persistance!$D:$D,'2012'!E$5,Persistance!$A:$A,"Industrial")*1000</f>
        <v>0</v>
      </c>
      <c r="F60" s="51">
        <f ca="1">SUMIFS(OFFSET(Persistance!$F:$F,0,$A$2-Persistance!$K$1),Persistance!$B:$B,'2012'!$A60,Persistance!$D:$D,'2012'!F$5,Persistance!$A:$A,"Industrial")*1000</f>
        <v>0</v>
      </c>
      <c r="G60" s="51">
        <f ca="1">SUMIFS(OFFSET(Persistance!$F:$F,0,$A$2-Persistance!$K$1),Persistance!$B:$B,'2012'!$A60,Persistance!$D:$D,'2012'!G$5,Persistance!$A:$A,"Industrial")*1000</f>
        <v>0</v>
      </c>
      <c r="H60" s="51">
        <f ca="1">SUMIFS(OFFSET(Persistance!$F:$F,0,$A$2-Persistance!$K$1),Persistance!$B:$B,'2012'!$A60,Persistance!$D:$D,'2012'!H$5,Persistance!$A:$A,"Industrial")*1000</f>
        <v>0</v>
      </c>
      <c r="I60" s="51">
        <f ca="1">SUMIFS(OFFSET(Persistance!$F:$F,0,$A$2-Persistance!$K$1),Persistance!$B:$B,'2012'!$A60,Persistance!$D:$D,'2012'!I$5,Persistance!$A:$A,"Industrial")*1000</f>
        <v>0</v>
      </c>
      <c r="J60" s="51">
        <f ca="1">SUMIFS(OFFSET(Persistance!$F:$F,0,$A$2-Persistance!$K$1),Persistance!$B:$B,'2012'!$A60,Persistance!$D:$D,'2012'!J$5,Persistance!$A:$A,"Industrial")*1000</f>
        <v>0</v>
      </c>
      <c r="K60" s="51">
        <f ca="1">SUMIFS(OFFSET(Persistance!$F:$F,0,$A$2-Persistance!$K$1),Persistance!$B:$B,'2012'!$A60,Persistance!$D:$D,'2012'!K$5,Persistance!$A:$A,"Industrial")*1000</f>
        <v>0</v>
      </c>
      <c r="L60" s="34">
        <f t="shared" ca="1" si="7"/>
        <v>0</v>
      </c>
      <c r="M60" s="34"/>
      <c r="N60" s="35"/>
      <c r="O60" s="36"/>
      <c r="P60" s="36"/>
      <c r="Q60" s="36"/>
      <c r="R60" s="2"/>
      <c r="S60" s="2"/>
      <c r="T60" s="2"/>
      <c r="U60" s="2"/>
    </row>
    <row r="61" spans="1:21" x14ac:dyDescent="0.25">
      <c r="A61" t="s">
        <v>14</v>
      </c>
      <c r="B61" s="51">
        <f ca="1">SUMIFS(OFFSET(Persistance!$F:$F,0,$A$2-Persistance!$F$1),Persistance!$B:$B,$A61,Persistance!$D:$D,B$5)*1000*'Retrofit Split'!B$7</f>
        <v>51.5900486688152</v>
      </c>
      <c r="C61" s="51">
        <f ca="1">SUMIFS(OFFSET(Persistance!$F:$F,0,$A$2-Persistance!$F$1),Persistance!$B:$B,$A61,Persistance!$D:$D,C$5)*1000*'Retrofit Split'!C$7</f>
        <v>9.5530774238729812</v>
      </c>
      <c r="D61" s="51">
        <f ca="1">SUMIFS(OFFSET(Persistance!$F:$F,0,$A$2-Persistance!$F$1),Persistance!$B:$B,$A61,Persistance!$D:$D,D$5)*1000*'Retrofit Split'!D$7</f>
        <v>0</v>
      </c>
      <c r="E61" s="51">
        <f ca="1">SUMIFS(OFFSET(Persistance!$F:$F,0,$A$2-Persistance!$F$1),Persistance!$B:$B,$A61,Persistance!$D:$D,E$5)*1000*'Retrofit Split'!E$7</f>
        <v>0</v>
      </c>
      <c r="F61" s="51">
        <f ca="1">SUMIFS(OFFSET(Persistance!$F:$F,0,$A$2-Persistance!$F$1),Persistance!$B:$B,$A61,Persistance!$D:$D,F$5)*1000*'Retrofit Split'!F$7</f>
        <v>0</v>
      </c>
      <c r="G61" s="51">
        <f ca="1">SUMIFS(OFFSET(Persistance!$F:$F,0,$A$2-Persistance!$F$1),Persistance!$B:$B,$A61,Persistance!$D:$D,G$5)*1000*'Retrofit Split'!G$7</f>
        <v>0</v>
      </c>
      <c r="H61" s="51">
        <f ca="1">SUMIFS(OFFSET(Persistance!$F:$F,0,$A$2-Persistance!$F$1),Persistance!$B:$B,$A61,Persistance!$D:$D,H$5)*1000*'Retrofit Split'!H$7</f>
        <v>0</v>
      </c>
      <c r="I61" s="51">
        <f ca="1">SUMIFS(OFFSET(Persistance!$F:$F,0,$A$2-Persistance!$F$1),Persistance!$B:$B,$A61,Persistance!$D:$D,I$5)*1000*'Retrofit Split'!I$7</f>
        <v>0</v>
      </c>
      <c r="J61" s="51">
        <f ca="1">SUMIFS(OFFSET(Persistance!$F:$F,0,$A$2-Persistance!$F$1),Persistance!$B:$B,$A61,Persistance!$D:$D,J$5)*1000*'Retrofit Split'!J$7</f>
        <v>0</v>
      </c>
      <c r="K61" s="51">
        <f ca="1">SUMIFS(OFFSET(Persistance!$F:$F,0,$A$2-Persistance!$F$1),Persistance!$B:$B,$A61,Persistance!$D:$D,K$5)*1000*'Retrofit Split'!K$7</f>
        <v>0</v>
      </c>
      <c r="L61" s="34">
        <f t="shared" ca="1" si="7"/>
        <v>733.71751311225808</v>
      </c>
      <c r="M61" s="34"/>
      <c r="N61" s="35"/>
      <c r="O61" s="36"/>
      <c r="P61" s="36"/>
      <c r="Q61" s="36"/>
      <c r="R61" s="2"/>
      <c r="S61" s="28" t="s">
        <v>49</v>
      </c>
      <c r="T61" s="28" t="s">
        <v>17</v>
      </c>
      <c r="U61" s="2" t="s">
        <v>50</v>
      </c>
    </row>
    <row r="62" spans="1:21" x14ac:dyDescent="0.25">
      <c r="B62" s="29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5"/>
      <c r="O62" s="36"/>
      <c r="P62" s="36"/>
      <c r="Q62" s="36"/>
      <c r="R62" s="2"/>
      <c r="S62" s="29">
        <f ca="1">$A$2</f>
        <v>2012</v>
      </c>
      <c r="T62" s="50">
        <f ca="1">AVERAGEIFS(Rates!E:E,Rates!F:F,'2012'!S62,Rates!G:G,"Industrial")</f>
        <v>0.68799999999999994</v>
      </c>
      <c r="U62" s="30">
        <f ca="1">AVERAGEIFS(Rates!B:B,Rates!F:F,'2012'!S62,Rates!G:G,"Industrial")</f>
        <v>41306</v>
      </c>
    </row>
    <row r="63" spans="1:21" x14ac:dyDescent="0.25">
      <c r="A63" t="s">
        <v>19</v>
      </c>
      <c r="B63" s="64">
        <f ca="1">SUM(B52:B62)</f>
        <v>51.5900486688152</v>
      </c>
      <c r="C63" s="64">
        <f ca="1">SUM(C52:C62)</f>
        <v>9.5530774238729812</v>
      </c>
      <c r="D63" s="64">
        <f ca="1">SUM(D52:D62)</f>
        <v>0</v>
      </c>
      <c r="E63" s="64">
        <f t="shared" ref="E63:L63" ca="1" si="8">SUM(E52:E62)</f>
        <v>0</v>
      </c>
      <c r="F63" s="64">
        <f t="shared" ca="1" si="8"/>
        <v>0</v>
      </c>
      <c r="G63" s="64">
        <f t="shared" ca="1" si="8"/>
        <v>0</v>
      </c>
      <c r="H63" s="64">
        <f t="shared" ca="1" si="8"/>
        <v>0</v>
      </c>
      <c r="I63" s="64">
        <f t="shared" ca="1" si="8"/>
        <v>0</v>
      </c>
      <c r="J63" s="64">
        <f t="shared" ca="1" si="8"/>
        <v>0</v>
      </c>
      <c r="K63" s="64">
        <f t="shared" ca="1" si="8"/>
        <v>0</v>
      </c>
      <c r="L63" s="64">
        <f t="shared" ca="1" si="8"/>
        <v>733.71751311225808</v>
      </c>
      <c r="M63" s="64">
        <v>0</v>
      </c>
      <c r="N63" s="64">
        <f ca="1">(((MONTH(U62)-1)/12)*T63)+(((12-(MONTH(U62)-1))/12)*T62)</f>
        <v>0.68738333333333324</v>
      </c>
      <c r="O63" s="64">
        <f ca="1">ROUND(L63*N63,2)</f>
        <v>504.35</v>
      </c>
      <c r="P63" s="64">
        <f ca="1">ROUND(M63*N63,2)</f>
        <v>0</v>
      </c>
      <c r="Q63" s="64">
        <f ca="1">+O63-P63</f>
        <v>504.35</v>
      </c>
      <c r="R63" s="2"/>
      <c r="S63" s="29">
        <f ca="1">S62-1</f>
        <v>2011</v>
      </c>
      <c r="T63" s="50">
        <f ca="1">AVERAGEIFS(Rates!E:E,Rates!F:F,'2012'!S63,Rates!G:G,"Industrial")</f>
        <v>0.68059999999999998</v>
      </c>
      <c r="U63" s="2"/>
    </row>
    <row r="64" spans="1:21" x14ac:dyDescent="0.25">
      <c r="B64" s="65"/>
      <c r="C64" s="65"/>
      <c r="D64" s="65"/>
      <c r="E64" s="53"/>
      <c r="F64" s="53"/>
      <c r="G64" s="53"/>
      <c r="H64" s="53"/>
      <c r="I64" s="53"/>
      <c r="J64" s="53"/>
      <c r="K64" s="53"/>
      <c r="L64" s="53">
        <f ca="1">L63/12</f>
        <v>61.143126092688171</v>
      </c>
      <c r="M64" s="53"/>
      <c r="N64" s="53"/>
      <c r="O64" s="53"/>
      <c r="P64" s="53"/>
      <c r="Q64" s="53"/>
      <c r="R64" s="2"/>
      <c r="S64" s="2"/>
      <c r="T64" s="2"/>
      <c r="U64" s="2"/>
    </row>
    <row r="65" spans="1:21" ht="15.75" thickBot="1" x14ac:dyDescent="0.3">
      <c r="A65" t="s">
        <v>20</v>
      </c>
      <c r="B65" s="66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67">
        <f ca="1">SUM(O30:O64)</f>
        <v>9538.36</v>
      </c>
      <c r="P65" s="67">
        <f ca="1">SUM(P30:P64)</f>
        <v>0</v>
      </c>
      <c r="Q65" s="67">
        <f ca="1">SUM(Q30:Q64)</f>
        <v>9538.36</v>
      </c>
      <c r="R65" s="2"/>
      <c r="S65" s="2"/>
      <c r="T65" s="2"/>
      <c r="U65" s="2"/>
    </row>
    <row r="66" spans="1:21" ht="15.75" thickTop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R66" s="2"/>
      <c r="S66" s="2"/>
      <c r="T66" s="2"/>
      <c r="U66" s="2"/>
    </row>
    <row r="67" spans="1:2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R67" s="2"/>
      <c r="S67" s="2"/>
      <c r="T67" s="2"/>
      <c r="U67" s="2"/>
    </row>
    <row r="68" spans="1:2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R68" s="2"/>
      <c r="S68" s="2"/>
      <c r="T68" s="2"/>
      <c r="U68" s="2"/>
    </row>
    <row r="69" spans="1:21" x14ac:dyDescent="0.2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R69" s="2"/>
      <c r="S69" s="2"/>
      <c r="T69" s="2"/>
      <c r="U6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workbookViewId="0">
      <selection activeCell="B61" sqref="B61"/>
    </sheetView>
  </sheetViews>
  <sheetFormatPr defaultRowHeight="15" x14ac:dyDescent="0.25"/>
  <cols>
    <col min="1" max="1" width="33.5703125" customWidth="1"/>
    <col min="2" max="14" width="13.7109375" customWidth="1"/>
    <col min="15" max="17" width="13.7109375" style="1" customWidth="1"/>
    <col min="21" max="21" width="10.42578125" bestFit="1" customWidth="1"/>
  </cols>
  <sheetData>
    <row r="1" spans="1:21" x14ac:dyDescent="0.25">
      <c r="A1" t="s">
        <v>28</v>
      </c>
    </row>
    <row r="2" spans="1:21" x14ac:dyDescent="0.25">
      <c r="A2">
        <f ca="1">_xlfn.NUMBERVALUE(MID(CELL("filename",A1),FIND("]",CELL("filename",A1))+1,255))</f>
        <v>2013</v>
      </c>
    </row>
    <row r="4" spans="1:21" x14ac:dyDescent="0.25">
      <c r="L4" s="4">
        <f ca="1">A2</f>
        <v>2013</v>
      </c>
    </row>
    <row r="5" spans="1:21" x14ac:dyDescent="0.25">
      <c r="B5" s="4">
        <v>2011</v>
      </c>
      <c r="C5" s="4">
        <f>B5+1</f>
        <v>2012</v>
      </c>
      <c r="D5" s="4">
        <f>C5+1</f>
        <v>2013</v>
      </c>
      <c r="E5" s="4">
        <f t="shared" ref="E5:K5" si="0">D5+1</f>
        <v>2014</v>
      </c>
      <c r="F5" s="4">
        <f t="shared" si="0"/>
        <v>2015</v>
      </c>
      <c r="G5" s="4">
        <f t="shared" si="0"/>
        <v>2016</v>
      </c>
      <c r="H5" s="4">
        <f t="shared" si="0"/>
        <v>2017</v>
      </c>
      <c r="I5" s="4">
        <f t="shared" si="0"/>
        <v>2018</v>
      </c>
      <c r="J5" s="4">
        <f t="shared" si="0"/>
        <v>2019</v>
      </c>
      <c r="K5" s="4">
        <f t="shared" si="0"/>
        <v>2020</v>
      </c>
      <c r="L5" s="4" t="s">
        <v>15</v>
      </c>
      <c r="M5" t="s">
        <v>22</v>
      </c>
      <c r="N5" t="s">
        <v>16</v>
      </c>
      <c r="O5" s="9" t="s">
        <v>21</v>
      </c>
      <c r="P5" s="9" t="s">
        <v>22</v>
      </c>
    </row>
    <row r="6" spans="1:21" x14ac:dyDescent="0.25">
      <c r="A6" s="5" t="s">
        <v>11</v>
      </c>
      <c r="B6" s="5" t="str">
        <f ca="1">IF(B5&lt;$A$2,"Persistance",IF(B5=$A$2,"Current","N/A"))</f>
        <v>Persistance</v>
      </c>
      <c r="C6" s="5" t="str">
        <f t="shared" ref="C6:K6" ca="1" si="1">IF(C5&lt;$A$2,"Persistance",IF(C5=$A$2,"Current","N/A"))</f>
        <v>Persistance</v>
      </c>
      <c r="D6" s="5" t="str">
        <f t="shared" ca="1" si="1"/>
        <v>Current</v>
      </c>
      <c r="E6" s="5" t="str">
        <f t="shared" ca="1" si="1"/>
        <v>N/A</v>
      </c>
      <c r="F6" s="5" t="str">
        <f t="shared" ca="1" si="1"/>
        <v>N/A</v>
      </c>
      <c r="G6" s="5" t="str">
        <f t="shared" ca="1" si="1"/>
        <v>N/A</v>
      </c>
      <c r="H6" s="5" t="str">
        <f t="shared" ca="1" si="1"/>
        <v>N/A</v>
      </c>
      <c r="I6" s="5" t="str">
        <f t="shared" ca="1" si="1"/>
        <v>N/A</v>
      </c>
      <c r="J6" s="5" t="str">
        <f t="shared" ca="1" si="1"/>
        <v>N/A</v>
      </c>
      <c r="K6" s="5" t="str">
        <f t="shared" ca="1" si="1"/>
        <v>N/A</v>
      </c>
      <c r="L6" s="5" t="s">
        <v>18</v>
      </c>
      <c r="M6" s="7" t="s">
        <v>18</v>
      </c>
      <c r="N6" s="7" t="s">
        <v>17</v>
      </c>
      <c r="O6" s="8" t="s">
        <v>23</v>
      </c>
      <c r="P6" s="8" t="s">
        <v>23</v>
      </c>
      <c r="Q6" s="8" t="s">
        <v>24</v>
      </c>
    </row>
    <row r="8" spans="1:21" x14ac:dyDescent="0.25">
      <c r="A8" t="s">
        <v>68</v>
      </c>
      <c r="B8" s="51">
        <f ca="1">SUMIFS(OFFSET(Persistance!$K:$K,0,$A$2-Persistance!$K$1),Persistance!$B:$B,$A8,Persistance!$D:$D,B$5,Persistance!$A:$A,"Consumer")*1000</f>
        <v>0</v>
      </c>
      <c r="C8" s="51">
        <f ca="1">SUMIFS(OFFSET(Persistance!$K:$K,0,$A$2-Persistance!$K$1),Persistance!$B:$B,$A8,Persistance!$D:$D,C$5,Persistance!$A:$A,"Consumer")*1000</f>
        <v>0</v>
      </c>
      <c r="D8" s="51">
        <f ca="1">SUMIFS(OFFSET(Persistance!$K:$K,0,$A$2-Persistance!$K$1),Persistance!$B:$B,$A8,Persistance!$D:$D,D$5,Persistance!$A:$A,"Consumer")*1000</f>
        <v>0</v>
      </c>
      <c r="E8" s="51">
        <f ca="1">SUMIFS(OFFSET(Persistance!$K:$K,0,$A$2-Persistance!$K$1),Persistance!$B:$B,$A8,Persistance!$D:$D,E$5,Persistance!$A:$A,"Consumer")*1000</f>
        <v>0</v>
      </c>
      <c r="F8" s="51">
        <f ca="1">SUMIFS(OFFSET(Persistance!$K:$K,0,$A$2-Persistance!$K$1),Persistance!$B:$B,$A8,Persistance!$D:$D,F$5,Persistance!$A:$A,"Consumer")*1000</f>
        <v>0</v>
      </c>
      <c r="G8" s="51">
        <f ca="1">SUMIFS(OFFSET(Persistance!$K:$K,0,$A$2-Persistance!$K$1),Persistance!$B:$B,$A8,Persistance!$D:$D,G$5,Persistance!$A:$A,"Consumer")*1000</f>
        <v>0</v>
      </c>
      <c r="H8" s="51">
        <f ca="1">SUMIFS(OFFSET(Persistance!$K:$K,0,$A$2-Persistance!$K$1),Persistance!$B:$B,$A8,Persistance!$D:$D,H$5,Persistance!$A:$A,"Consumer")*1000</f>
        <v>0</v>
      </c>
      <c r="I8" s="51">
        <f ca="1">SUMIFS(OFFSET(Persistance!$K:$K,0,$A$2-Persistance!$K$1),Persistance!$B:$B,$A8,Persistance!$D:$D,I$5,Persistance!$A:$A,"Consumer")*1000</f>
        <v>0</v>
      </c>
      <c r="J8" s="51">
        <f ca="1">SUMIFS(OFFSET(Persistance!$K:$K,0,$A$2-Persistance!$K$1),Persistance!$B:$B,$A8,Persistance!$D:$D,J$5,Persistance!$A:$A,"Consumer")*1000</f>
        <v>0</v>
      </c>
      <c r="K8" s="51">
        <f ca="1">SUMIFS(OFFSET(Persistance!$K:$K,0,$A$2-Persistance!$K$1),Persistance!$B:$B,$A8,Persistance!$D:$D,K$5,Persistance!$A:$A,"Consumer")*1000</f>
        <v>0</v>
      </c>
      <c r="L8" s="34">
        <f ca="1">SUM(B8:K8)</f>
        <v>0</v>
      </c>
      <c r="M8" s="34"/>
      <c r="N8" s="35"/>
      <c r="O8" s="36"/>
      <c r="P8" s="36"/>
      <c r="Q8" s="36"/>
      <c r="R8" s="2"/>
      <c r="U8" s="2"/>
    </row>
    <row r="9" spans="1:21" x14ac:dyDescent="0.25">
      <c r="A9" t="s">
        <v>74</v>
      </c>
      <c r="B9" s="51">
        <f ca="1">SUMIFS(OFFSET(Persistance!$K:$K,0,$A$2-Persistance!$K$1),Persistance!$B:$B,$A9,Persistance!$D:$D,B$5,Persistance!$A:$A,"Consumer")*1000</f>
        <v>0</v>
      </c>
      <c r="C9" s="51">
        <f ca="1">SUMIFS(OFFSET(Persistance!$K:$K,0,$A$2-Persistance!$K$1),Persistance!$B:$B,$A9,Persistance!$D:$D,C$5,Persistance!$A:$A,"Consumer")*1000</f>
        <v>0</v>
      </c>
      <c r="D9" s="51">
        <f ca="1">SUMIFS(OFFSET(Persistance!$K:$K,0,$A$2-Persistance!$K$1),Persistance!$B:$B,$A9,Persistance!$D:$D,D$5,Persistance!$A:$A,"Consumer")*1000</f>
        <v>8180.8807287030004</v>
      </c>
      <c r="E9" s="51">
        <f ca="1">SUMIFS(OFFSET(Persistance!$K:$K,0,$A$2-Persistance!$K$1),Persistance!$B:$B,$A9,Persistance!$D:$D,E$5,Persistance!$A:$A,"Consumer")*1000</f>
        <v>0</v>
      </c>
      <c r="F9" s="51">
        <f ca="1">SUMIFS(OFFSET(Persistance!$K:$K,0,$A$2-Persistance!$K$1),Persistance!$B:$B,$A9,Persistance!$D:$D,F$5,Persistance!$A:$A,"Consumer")*1000</f>
        <v>0</v>
      </c>
      <c r="G9" s="51">
        <f ca="1">SUMIFS(OFFSET(Persistance!$K:$K,0,$A$2-Persistance!$K$1),Persistance!$B:$B,$A9,Persistance!$D:$D,G$5,Persistance!$A:$A,"Consumer")*1000</f>
        <v>0</v>
      </c>
      <c r="H9" s="51">
        <f ca="1">SUMIFS(OFFSET(Persistance!$K:$K,0,$A$2-Persistance!$K$1),Persistance!$B:$B,$A9,Persistance!$D:$D,H$5,Persistance!$A:$A,"Consumer")*1000</f>
        <v>0</v>
      </c>
      <c r="I9" s="51">
        <f ca="1">SUMIFS(OFFSET(Persistance!$K:$K,0,$A$2-Persistance!$K$1),Persistance!$B:$B,$A9,Persistance!$D:$D,I$5,Persistance!$A:$A,"Consumer")*1000</f>
        <v>0</v>
      </c>
      <c r="J9" s="51">
        <f ca="1">SUMIFS(OFFSET(Persistance!$K:$K,0,$A$2-Persistance!$K$1),Persistance!$B:$B,$A9,Persistance!$D:$D,J$5,Persistance!$A:$A,"Consumer")*1000</f>
        <v>0</v>
      </c>
      <c r="K9" s="51">
        <f ca="1">SUMIFS(OFFSET(Persistance!$K:$K,0,$A$2-Persistance!$K$1),Persistance!$B:$B,$A9,Persistance!$D:$D,K$5,Persistance!$A:$A,"Consumer")*1000</f>
        <v>0</v>
      </c>
      <c r="L9" s="34">
        <f t="shared" ref="L9:L28" ca="1" si="2">SUM(B9:K9)</f>
        <v>8180.8807287030004</v>
      </c>
      <c r="M9" s="34"/>
      <c r="N9" s="35"/>
      <c r="O9" s="36"/>
      <c r="P9" s="36"/>
      <c r="Q9" s="36"/>
      <c r="R9" s="2"/>
      <c r="S9" s="2"/>
      <c r="T9" s="2"/>
      <c r="U9" s="2"/>
    </row>
    <row r="10" spans="1:21" x14ac:dyDescent="0.25">
      <c r="A10" t="s">
        <v>1</v>
      </c>
      <c r="B10" s="51">
        <f ca="1">SUMIFS(OFFSET(Persistance!$K:$K,0,$A$2-Persistance!$K$1),Persistance!$B:$B,$A10,Persistance!$D:$D,B$5,Persistance!$A:$A,"Consumer")*1000</f>
        <v>824.39615971053558</v>
      </c>
      <c r="C10" s="51">
        <f ca="1">SUMIFS(OFFSET(Persistance!$K:$K,0,$A$2-Persistance!$K$1),Persistance!$B:$B,$A10,Persistance!$D:$D,C$5,Persistance!$A:$A,"Consumer")*1000</f>
        <v>2297.792195821457</v>
      </c>
      <c r="D10" s="51">
        <f ca="1">SUMIFS(OFFSET(Persistance!$K:$K,0,$A$2-Persistance!$K$1),Persistance!$B:$B,$A10,Persistance!$D:$D,D$5,Persistance!$A:$A,"Consumer")*1000</f>
        <v>369.43987800000002</v>
      </c>
      <c r="E10" s="51">
        <f ca="1">SUMIFS(OFFSET(Persistance!$K:$K,0,$A$2-Persistance!$K$1),Persistance!$B:$B,$A10,Persistance!$D:$D,E$5,Persistance!$A:$A,"Consumer")*1000</f>
        <v>0</v>
      </c>
      <c r="F10" s="51">
        <f ca="1">SUMIFS(OFFSET(Persistance!$K:$K,0,$A$2-Persistance!$K$1),Persistance!$B:$B,$A10,Persistance!$D:$D,F$5,Persistance!$A:$A,"Consumer")*1000</f>
        <v>0</v>
      </c>
      <c r="G10" s="51">
        <f ca="1">SUMIFS(OFFSET(Persistance!$K:$K,0,$A$2-Persistance!$K$1),Persistance!$B:$B,$A10,Persistance!$D:$D,G$5,Persistance!$A:$A,"Consumer")*1000</f>
        <v>0</v>
      </c>
      <c r="H10" s="51">
        <f ca="1">SUMIFS(OFFSET(Persistance!$K:$K,0,$A$2-Persistance!$K$1),Persistance!$B:$B,$A10,Persistance!$D:$D,H$5,Persistance!$A:$A,"Consumer")*1000</f>
        <v>0</v>
      </c>
      <c r="I10" s="51">
        <f ca="1">SUMIFS(OFFSET(Persistance!$K:$K,0,$A$2-Persistance!$K$1),Persistance!$B:$B,$A10,Persistance!$D:$D,I$5,Persistance!$A:$A,"Consumer")*1000</f>
        <v>0</v>
      </c>
      <c r="J10" s="51">
        <f ca="1">SUMIFS(OFFSET(Persistance!$K:$K,0,$A$2-Persistance!$K$1),Persistance!$B:$B,$A10,Persistance!$D:$D,J$5,Persistance!$A:$A,"Consumer")*1000</f>
        <v>0</v>
      </c>
      <c r="K10" s="51">
        <f ca="1">SUMIFS(OFFSET(Persistance!$K:$K,0,$A$2-Persistance!$K$1),Persistance!$B:$B,$A10,Persistance!$D:$D,K$5,Persistance!$A:$A,"Consumer")*1000</f>
        <v>0</v>
      </c>
      <c r="L10" s="34">
        <f t="shared" ca="1" si="2"/>
        <v>3491.6282335319929</v>
      </c>
      <c r="M10" s="34"/>
      <c r="N10" s="35"/>
      <c r="O10" s="36"/>
      <c r="P10" s="36"/>
      <c r="Q10" s="36"/>
      <c r="R10" s="2"/>
      <c r="S10" s="2"/>
      <c r="T10" s="2"/>
      <c r="U10" s="2"/>
    </row>
    <row r="11" spans="1:21" x14ac:dyDescent="0.25">
      <c r="A11" t="s">
        <v>0</v>
      </c>
      <c r="B11" s="51">
        <f ca="1">SUMIFS(OFFSET(Persistance!$K:$K,0,$A$2-Persistance!$K$1),Persistance!$B:$B,$A11,Persistance!$D:$D,B$5,Persistance!$A:$A,"Consumer")*1000</f>
        <v>28618.459605914679</v>
      </c>
      <c r="C11" s="51">
        <f ca="1">SUMIFS(OFFSET(Persistance!$K:$K,0,$A$2-Persistance!$K$1),Persistance!$B:$B,$A11,Persistance!$D:$D,C$5,Persistance!$A:$A,"Consumer")*1000</f>
        <v>15584.638286646952</v>
      </c>
      <c r="D11" s="51">
        <f ca="1">SUMIFS(OFFSET(Persistance!$K:$K,0,$A$2-Persistance!$K$1),Persistance!$B:$B,$A11,Persistance!$D:$D,D$5,Persistance!$A:$A,"Consumer")*1000</f>
        <v>11768.694884189692</v>
      </c>
      <c r="E11" s="51">
        <f ca="1">SUMIFS(OFFSET(Persistance!$K:$K,0,$A$2-Persistance!$K$1),Persistance!$B:$B,$A11,Persistance!$D:$D,E$5,Persistance!$A:$A,"Consumer")*1000</f>
        <v>0</v>
      </c>
      <c r="F11" s="51">
        <f ca="1">SUMIFS(OFFSET(Persistance!$K:$K,0,$A$2-Persistance!$K$1),Persistance!$B:$B,$A11,Persistance!$D:$D,F$5,Persistance!$A:$A,"Consumer")*1000</f>
        <v>0</v>
      </c>
      <c r="G11" s="51">
        <f ca="1">SUMIFS(OFFSET(Persistance!$K:$K,0,$A$2-Persistance!$K$1),Persistance!$B:$B,$A11,Persistance!$D:$D,G$5,Persistance!$A:$A,"Consumer")*1000</f>
        <v>0</v>
      </c>
      <c r="H11" s="51">
        <f ca="1">SUMIFS(OFFSET(Persistance!$K:$K,0,$A$2-Persistance!$K$1),Persistance!$B:$B,$A11,Persistance!$D:$D,H$5,Persistance!$A:$A,"Consumer")*1000</f>
        <v>0</v>
      </c>
      <c r="I11" s="51">
        <f ca="1">SUMIFS(OFFSET(Persistance!$K:$K,0,$A$2-Persistance!$K$1),Persistance!$B:$B,$A11,Persistance!$D:$D,I$5,Persistance!$A:$A,"Consumer")*1000</f>
        <v>0</v>
      </c>
      <c r="J11" s="51">
        <f ca="1">SUMIFS(OFFSET(Persistance!$K:$K,0,$A$2-Persistance!$K$1),Persistance!$B:$B,$A11,Persistance!$D:$D,J$5,Persistance!$A:$A,"Consumer")*1000</f>
        <v>0</v>
      </c>
      <c r="K11" s="51">
        <f ca="1">SUMIFS(OFFSET(Persistance!$K:$K,0,$A$2-Persistance!$K$1),Persistance!$B:$B,$A11,Persistance!$D:$D,K$5,Persistance!$A:$A,"Consumer")*1000</f>
        <v>0</v>
      </c>
      <c r="L11" s="34">
        <f t="shared" ca="1" si="2"/>
        <v>55971.792776751317</v>
      </c>
      <c r="M11" s="34"/>
      <c r="N11" s="35"/>
      <c r="O11" s="36"/>
      <c r="P11" s="36"/>
      <c r="Q11" s="36"/>
      <c r="R11" s="2"/>
      <c r="S11" s="2"/>
      <c r="T11" s="2"/>
      <c r="U11" s="2"/>
    </row>
    <row r="12" spans="1:21" x14ac:dyDescent="0.25">
      <c r="A12" t="s">
        <v>53</v>
      </c>
      <c r="B12" s="51">
        <f ca="1">SUMIFS(OFFSET(Persistance!$K:$K,0,$A$2-Persistance!$K$1),Persistance!$B:$B,$A12,Persistance!$D:$D,B$5,Persistance!$A:$A,"Consumer")*1000</f>
        <v>0</v>
      </c>
      <c r="C12" s="51">
        <f ca="1">SUMIFS(OFFSET(Persistance!$K:$K,0,$A$2-Persistance!$K$1),Persistance!$B:$B,$A12,Persistance!$D:$D,C$5,Persistance!$A:$A,"Consumer")*1000</f>
        <v>0</v>
      </c>
      <c r="D12" s="51">
        <f ca="1">SUMIFS(OFFSET(Persistance!$K:$K,0,$A$2-Persistance!$K$1),Persistance!$B:$B,$A12,Persistance!$D:$D,D$5,Persistance!$A:$A,"Consumer")*1000</f>
        <v>0</v>
      </c>
      <c r="E12" s="51">
        <f ca="1">SUMIFS(OFFSET(Persistance!$K:$K,0,$A$2-Persistance!$K$1),Persistance!$B:$B,$A12,Persistance!$D:$D,E$5,Persistance!$A:$A,"Consumer")*1000</f>
        <v>0</v>
      </c>
      <c r="F12" s="51">
        <f ca="1">SUMIFS(OFFSET(Persistance!$K:$K,0,$A$2-Persistance!$K$1),Persistance!$B:$B,$A12,Persistance!$D:$D,F$5,Persistance!$A:$A,"Consumer")*1000</f>
        <v>0</v>
      </c>
      <c r="G12" s="51">
        <f ca="1">SUMIFS(OFFSET(Persistance!$K:$K,0,$A$2-Persistance!$K$1),Persistance!$B:$B,$A12,Persistance!$D:$D,G$5,Persistance!$A:$A,"Consumer")*1000</f>
        <v>0</v>
      </c>
      <c r="H12" s="51">
        <f ca="1">SUMIFS(OFFSET(Persistance!$K:$K,0,$A$2-Persistance!$K$1),Persistance!$B:$B,$A12,Persistance!$D:$D,H$5,Persistance!$A:$A,"Consumer")*1000</f>
        <v>0</v>
      </c>
      <c r="I12" s="51">
        <f ca="1">SUMIFS(OFFSET(Persistance!$K:$K,0,$A$2-Persistance!$K$1),Persistance!$B:$B,$A12,Persistance!$D:$D,I$5,Persistance!$A:$A,"Consumer")*1000</f>
        <v>0</v>
      </c>
      <c r="J12" s="51">
        <f ca="1">SUMIFS(OFFSET(Persistance!$K:$K,0,$A$2-Persistance!$K$1),Persistance!$B:$B,$A12,Persistance!$D:$D,J$5,Persistance!$A:$A,"Consumer")*1000</f>
        <v>0</v>
      </c>
      <c r="K12" s="51">
        <f ca="1">SUMIFS(OFFSET(Persistance!$K:$K,0,$A$2-Persistance!$K$1),Persistance!$B:$B,$A12,Persistance!$D:$D,K$5,Persistance!$A:$A,"Consumer")*1000</f>
        <v>0</v>
      </c>
      <c r="L12" s="34">
        <f t="shared" ca="1" si="2"/>
        <v>0</v>
      </c>
      <c r="M12" s="34"/>
      <c r="N12" s="35"/>
      <c r="O12" s="36"/>
      <c r="P12" s="36"/>
      <c r="Q12" s="36"/>
      <c r="R12" s="2"/>
      <c r="S12" s="2"/>
      <c r="T12" s="2"/>
      <c r="U12" s="2"/>
    </row>
    <row r="13" spans="1:21" x14ac:dyDescent="0.25">
      <c r="A13" t="s">
        <v>4</v>
      </c>
      <c r="B13" s="51">
        <f ca="1">SUMIFS(OFFSET(Persistance!$K:$K,0,$A$2-Persistance!$K$1),Persistance!$B:$B,$A13,Persistance!$D:$D,B$5,Persistance!$A:$A,"Consumer")*1000</f>
        <v>33509.567265749611</v>
      </c>
      <c r="C13" s="51">
        <f ca="1">SUMIFS(OFFSET(Persistance!$K:$K,0,$A$2-Persistance!$K$1),Persistance!$B:$B,$A13,Persistance!$D:$D,C$5,Persistance!$A:$A,"Consumer")*1000</f>
        <v>28426.28731595966</v>
      </c>
      <c r="D13" s="51">
        <f ca="1">SUMIFS(OFFSET(Persistance!$K:$K,0,$A$2-Persistance!$K$1),Persistance!$B:$B,$A13,Persistance!$D:$D,D$5,Persistance!$A:$A,"Consumer")*1000</f>
        <v>0</v>
      </c>
      <c r="E13" s="51">
        <f ca="1">SUMIFS(OFFSET(Persistance!$K:$K,0,$A$2-Persistance!$K$1),Persistance!$B:$B,$A13,Persistance!$D:$D,E$5,Persistance!$A:$A,"Consumer")*1000</f>
        <v>0</v>
      </c>
      <c r="F13" s="51">
        <f ca="1">SUMIFS(OFFSET(Persistance!$K:$K,0,$A$2-Persistance!$K$1),Persistance!$B:$B,$A13,Persistance!$D:$D,F$5,Persistance!$A:$A,"Consumer")*1000</f>
        <v>0</v>
      </c>
      <c r="G13" s="51">
        <f ca="1">SUMIFS(OFFSET(Persistance!$K:$K,0,$A$2-Persistance!$K$1),Persistance!$B:$B,$A13,Persistance!$D:$D,G$5,Persistance!$A:$A,"Consumer")*1000</f>
        <v>0</v>
      </c>
      <c r="H13" s="51">
        <f ca="1">SUMIFS(OFFSET(Persistance!$K:$K,0,$A$2-Persistance!$K$1),Persistance!$B:$B,$A13,Persistance!$D:$D,H$5,Persistance!$A:$A,"Consumer")*1000</f>
        <v>0</v>
      </c>
      <c r="I13" s="51">
        <f ca="1">SUMIFS(OFFSET(Persistance!$K:$K,0,$A$2-Persistance!$K$1),Persistance!$B:$B,$A13,Persistance!$D:$D,I$5,Persistance!$A:$A,"Consumer")*1000</f>
        <v>0</v>
      </c>
      <c r="J13" s="51">
        <f ca="1">SUMIFS(OFFSET(Persistance!$K:$K,0,$A$2-Persistance!$K$1),Persistance!$B:$B,$A13,Persistance!$D:$D,J$5,Persistance!$A:$A,"Consumer")*1000</f>
        <v>0</v>
      </c>
      <c r="K13" s="51">
        <f ca="1">SUMIFS(OFFSET(Persistance!$K:$K,0,$A$2-Persistance!$K$1),Persistance!$B:$B,$A13,Persistance!$D:$D,K$5,Persistance!$A:$A,"Consumer")*1000</f>
        <v>0</v>
      </c>
      <c r="L13" s="34">
        <f t="shared" ca="1" si="2"/>
        <v>61935.854581709267</v>
      </c>
      <c r="M13" s="34"/>
      <c r="N13" s="35"/>
      <c r="O13" s="36"/>
      <c r="P13" s="36"/>
      <c r="Q13" s="36"/>
      <c r="R13" s="2"/>
      <c r="S13" s="2"/>
      <c r="T13" s="2"/>
      <c r="U13" s="2"/>
    </row>
    <row r="14" spans="1:21" x14ac:dyDescent="0.25">
      <c r="A14" t="s">
        <v>52</v>
      </c>
      <c r="B14" s="51">
        <f ca="1">SUMIFS(OFFSET(Persistance!$K:$K,0,$A$2-Persistance!$K$1),Persistance!$B:$B,$A14,Persistance!$D:$D,B$5,Persistance!$A:$A,"Consumer")*1000</f>
        <v>0</v>
      </c>
      <c r="C14" s="51">
        <f ca="1">SUMIFS(OFFSET(Persistance!$K:$K,0,$A$2-Persistance!$K$1),Persistance!$B:$B,$A14,Persistance!$D:$D,C$5,Persistance!$A:$A,"Consumer")*1000</f>
        <v>0</v>
      </c>
      <c r="D14" s="51">
        <f ca="1">SUMIFS(OFFSET(Persistance!$K:$K,0,$A$2-Persistance!$K$1),Persistance!$B:$B,$A14,Persistance!$D:$D,D$5,Persistance!$A:$A,"Consumer")*1000</f>
        <v>0</v>
      </c>
      <c r="E14" s="51">
        <f ca="1">SUMIFS(OFFSET(Persistance!$K:$K,0,$A$2-Persistance!$K$1),Persistance!$B:$B,$A14,Persistance!$D:$D,E$5,Persistance!$A:$A,"Consumer")*1000</f>
        <v>0</v>
      </c>
      <c r="F14" s="51">
        <f ca="1">SUMIFS(OFFSET(Persistance!$K:$K,0,$A$2-Persistance!$K$1),Persistance!$B:$B,$A14,Persistance!$D:$D,F$5,Persistance!$A:$A,"Consumer")*1000</f>
        <v>0</v>
      </c>
      <c r="G14" s="51">
        <f ca="1">SUMIFS(OFFSET(Persistance!$K:$K,0,$A$2-Persistance!$K$1),Persistance!$B:$B,$A14,Persistance!$D:$D,G$5,Persistance!$A:$A,"Consumer")*1000</f>
        <v>0</v>
      </c>
      <c r="H14" s="51">
        <f ca="1">SUMIFS(OFFSET(Persistance!$K:$K,0,$A$2-Persistance!$K$1),Persistance!$B:$B,$A14,Persistance!$D:$D,H$5,Persistance!$A:$A,"Consumer")*1000</f>
        <v>0</v>
      </c>
      <c r="I14" s="51">
        <f ca="1">SUMIFS(OFFSET(Persistance!$K:$K,0,$A$2-Persistance!$K$1),Persistance!$B:$B,$A14,Persistance!$D:$D,I$5,Persistance!$A:$A,"Consumer")*1000</f>
        <v>0</v>
      </c>
      <c r="J14" s="51">
        <f ca="1">SUMIFS(OFFSET(Persistance!$K:$K,0,$A$2-Persistance!$K$1),Persistance!$B:$B,$A14,Persistance!$D:$D,J$5,Persistance!$A:$A,"Consumer")*1000</f>
        <v>0</v>
      </c>
      <c r="K14" s="51">
        <f ca="1">SUMIFS(OFFSET(Persistance!$K:$K,0,$A$2-Persistance!$K$1),Persistance!$B:$B,$A14,Persistance!$D:$D,K$5,Persistance!$A:$A,"Consumer")*1000</f>
        <v>0</v>
      </c>
      <c r="L14" s="34">
        <f t="shared" ca="1" si="2"/>
        <v>0</v>
      </c>
      <c r="M14" s="34"/>
      <c r="N14" s="35"/>
      <c r="O14" s="36"/>
      <c r="P14" s="36"/>
      <c r="Q14" s="36"/>
      <c r="R14" s="2"/>
      <c r="S14" s="2"/>
      <c r="T14" s="2"/>
      <c r="U14" s="2"/>
    </row>
    <row r="15" spans="1:21" x14ac:dyDescent="0.25">
      <c r="A15" t="s">
        <v>75</v>
      </c>
      <c r="B15" s="51">
        <f ca="1">SUMIFS(OFFSET(Persistance!$K:$K,0,$A$2-Persistance!$K$1),Persistance!$B:$B,$A15,Persistance!$D:$D,B$5,Persistance!$A:$A,"Consumer")*1000</f>
        <v>0</v>
      </c>
      <c r="C15" s="51">
        <f ca="1">SUMIFS(OFFSET(Persistance!$K:$K,0,$A$2-Persistance!$K$1),Persistance!$B:$B,$A15,Persistance!$D:$D,C$5,Persistance!$A:$A,"Consumer")*1000</f>
        <v>0</v>
      </c>
      <c r="D15" s="51">
        <f ca="1">SUMIFS(OFFSET(Persistance!$K:$K,0,$A$2-Persistance!$K$1),Persistance!$B:$B,$A15,Persistance!$D:$D,D$5,Persistance!$A:$A,"Consumer")*1000</f>
        <v>18234.823176065001</v>
      </c>
      <c r="E15" s="51">
        <f ca="1">SUMIFS(OFFSET(Persistance!$K:$K,0,$A$2-Persistance!$K$1),Persistance!$B:$B,$A15,Persistance!$D:$D,E$5,Persistance!$A:$A,"Consumer")*1000</f>
        <v>0</v>
      </c>
      <c r="F15" s="51">
        <f ca="1">SUMIFS(OFFSET(Persistance!$K:$K,0,$A$2-Persistance!$K$1),Persistance!$B:$B,$A15,Persistance!$D:$D,F$5,Persistance!$A:$A,"Consumer")*1000</f>
        <v>0</v>
      </c>
      <c r="G15" s="51">
        <f ca="1">SUMIFS(OFFSET(Persistance!$K:$K,0,$A$2-Persistance!$K$1),Persistance!$B:$B,$A15,Persistance!$D:$D,G$5,Persistance!$A:$A,"Consumer")*1000</f>
        <v>0</v>
      </c>
      <c r="H15" s="51">
        <f ca="1">SUMIFS(OFFSET(Persistance!$K:$K,0,$A$2-Persistance!$K$1),Persistance!$B:$B,$A15,Persistance!$D:$D,H$5,Persistance!$A:$A,"Consumer")*1000</f>
        <v>0</v>
      </c>
      <c r="I15" s="51">
        <f ca="1">SUMIFS(OFFSET(Persistance!$K:$K,0,$A$2-Persistance!$K$1),Persistance!$B:$B,$A15,Persistance!$D:$D,I$5,Persistance!$A:$A,"Consumer")*1000</f>
        <v>0</v>
      </c>
      <c r="J15" s="51">
        <f ca="1">SUMIFS(OFFSET(Persistance!$K:$K,0,$A$2-Persistance!$K$1),Persistance!$B:$B,$A15,Persistance!$D:$D,J$5,Persistance!$A:$A,"Consumer")*1000</f>
        <v>0</v>
      </c>
      <c r="K15" s="51">
        <f ca="1">SUMIFS(OFFSET(Persistance!$K:$K,0,$A$2-Persistance!$K$1),Persistance!$B:$B,$A15,Persistance!$D:$D,K$5,Persistance!$A:$A,"Consumer")*1000</f>
        <v>0</v>
      </c>
      <c r="L15" s="34">
        <f t="shared" ca="1" si="2"/>
        <v>18234.823176065001</v>
      </c>
      <c r="M15" s="34"/>
      <c r="N15" s="35"/>
      <c r="O15" s="36"/>
      <c r="P15" s="36"/>
      <c r="Q15" s="36"/>
      <c r="R15" s="2"/>
      <c r="S15" s="2"/>
      <c r="T15" s="2"/>
      <c r="U15" s="2"/>
    </row>
    <row r="16" spans="1:21" x14ac:dyDescent="0.25">
      <c r="A16" t="s">
        <v>3</v>
      </c>
      <c r="B16" s="51">
        <f ca="1">SUMIFS(OFFSET(Persistance!$K:$K,0,$A$2-Persistance!$K$1),Persistance!$B:$B,$A16,Persistance!$D:$D,B$5,Persistance!$A:$A,"Consumer")*1000</f>
        <v>20550.910292421315</v>
      </c>
      <c r="C16" s="51">
        <f ca="1">SUMIFS(OFFSET(Persistance!$K:$K,0,$A$2-Persistance!$K$1),Persistance!$B:$B,$A16,Persistance!$D:$D,C$5,Persistance!$A:$A,"Consumer")*1000</f>
        <v>1484.0628416218267</v>
      </c>
      <c r="D16" s="51">
        <f ca="1">SUMIFS(OFFSET(Persistance!$K:$K,0,$A$2-Persistance!$K$1),Persistance!$B:$B,$A16,Persistance!$D:$D,D$5,Persistance!$A:$A,"Consumer")*1000</f>
        <v>25</v>
      </c>
      <c r="E16" s="51">
        <f ca="1">SUMIFS(OFFSET(Persistance!$K:$K,0,$A$2-Persistance!$K$1),Persistance!$B:$B,$A16,Persistance!$D:$D,E$5,Persistance!$A:$A,"Consumer")*1000</f>
        <v>0</v>
      </c>
      <c r="F16" s="51">
        <f ca="1">SUMIFS(OFFSET(Persistance!$K:$K,0,$A$2-Persistance!$K$1),Persistance!$B:$B,$A16,Persistance!$D:$D,F$5,Persistance!$A:$A,"Consumer")*1000</f>
        <v>0</v>
      </c>
      <c r="G16" s="51">
        <f ca="1">SUMIFS(OFFSET(Persistance!$K:$K,0,$A$2-Persistance!$K$1),Persistance!$B:$B,$A16,Persistance!$D:$D,G$5,Persistance!$A:$A,"Consumer")*1000</f>
        <v>0</v>
      </c>
      <c r="H16" s="51">
        <f ca="1">SUMIFS(OFFSET(Persistance!$K:$K,0,$A$2-Persistance!$K$1),Persistance!$B:$B,$A16,Persistance!$D:$D,H$5,Persistance!$A:$A,"Consumer")*1000</f>
        <v>0</v>
      </c>
      <c r="I16" s="51">
        <f ca="1">SUMIFS(OFFSET(Persistance!$K:$K,0,$A$2-Persistance!$K$1),Persistance!$B:$B,$A16,Persistance!$D:$D,I$5,Persistance!$A:$A,"Consumer")*1000</f>
        <v>0</v>
      </c>
      <c r="J16" s="51">
        <f ca="1">SUMIFS(OFFSET(Persistance!$K:$K,0,$A$2-Persistance!$K$1),Persistance!$B:$B,$A16,Persistance!$D:$D,J$5,Persistance!$A:$A,"Consumer")*1000</f>
        <v>0</v>
      </c>
      <c r="K16" s="51">
        <f ca="1">SUMIFS(OFFSET(Persistance!$K:$K,0,$A$2-Persistance!$K$1),Persistance!$B:$B,$A16,Persistance!$D:$D,K$5,Persistance!$A:$A,"Consumer")*1000</f>
        <v>0</v>
      </c>
      <c r="L16" s="34">
        <f t="shared" ca="1" si="2"/>
        <v>22059.973134043143</v>
      </c>
      <c r="M16" s="34"/>
      <c r="N16" s="35"/>
      <c r="O16" s="36"/>
      <c r="P16" s="36"/>
      <c r="Q16" s="36"/>
      <c r="R16" s="2"/>
      <c r="S16" s="2"/>
      <c r="T16" s="2"/>
      <c r="U16" s="2"/>
    </row>
    <row r="17" spans="1:21" x14ac:dyDescent="0.25">
      <c r="A17" t="s">
        <v>51</v>
      </c>
      <c r="B17" s="51">
        <f ca="1">SUMIFS(OFFSET(Persistance!$K:$K,0,$A$2-Persistance!$K$1),Persistance!$B:$B,$A17,Persistance!$D:$D,B$5,Persistance!$A:$A,"Consumer")*1000</f>
        <v>0</v>
      </c>
      <c r="C17" s="51">
        <f ca="1">SUMIFS(OFFSET(Persistance!$K:$K,0,$A$2-Persistance!$K$1),Persistance!$B:$B,$A17,Persistance!$D:$D,C$5,Persistance!$A:$A,"Consumer")*1000</f>
        <v>0</v>
      </c>
      <c r="D17" s="51">
        <f ca="1">SUMIFS(OFFSET(Persistance!$K:$K,0,$A$2-Persistance!$K$1),Persistance!$B:$B,$A17,Persistance!$D:$D,D$5,Persistance!$A:$A,"Consumer")*1000</f>
        <v>0</v>
      </c>
      <c r="E17" s="51">
        <f ca="1">SUMIFS(OFFSET(Persistance!$K:$K,0,$A$2-Persistance!$K$1),Persistance!$B:$B,$A17,Persistance!$D:$D,E$5,Persistance!$A:$A,"Consumer")*1000</f>
        <v>0</v>
      </c>
      <c r="F17" s="51">
        <f ca="1">SUMIFS(OFFSET(Persistance!$K:$K,0,$A$2-Persistance!$K$1),Persistance!$B:$B,$A17,Persistance!$D:$D,F$5,Persistance!$A:$A,"Consumer")*1000</f>
        <v>0</v>
      </c>
      <c r="G17" s="51">
        <f ca="1">SUMIFS(OFFSET(Persistance!$K:$K,0,$A$2-Persistance!$K$1),Persistance!$B:$B,$A17,Persistance!$D:$D,G$5,Persistance!$A:$A,"Consumer")*1000</f>
        <v>0</v>
      </c>
      <c r="H17" s="51">
        <f ca="1">SUMIFS(OFFSET(Persistance!$K:$K,0,$A$2-Persistance!$K$1),Persistance!$B:$B,$A17,Persistance!$D:$D,H$5,Persistance!$A:$A,"Consumer")*1000</f>
        <v>0</v>
      </c>
      <c r="I17" s="51">
        <f ca="1">SUMIFS(OFFSET(Persistance!$K:$K,0,$A$2-Persistance!$K$1),Persistance!$B:$B,$A17,Persistance!$D:$D,I$5,Persistance!$A:$A,"Consumer")*1000</f>
        <v>0</v>
      </c>
      <c r="J17" s="51">
        <f ca="1">SUMIFS(OFFSET(Persistance!$K:$K,0,$A$2-Persistance!$K$1),Persistance!$B:$B,$A17,Persistance!$D:$D,J$5,Persistance!$A:$A,"Consumer")*1000</f>
        <v>0</v>
      </c>
      <c r="K17" s="51">
        <f ca="1">SUMIFS(OFFSET(Persistance!$K:$K,0,$A$2-Persistance!$K$1),Persistance!$B:$B,$A17,Persistance!$D:$D,K$5,Persistance!$A:$A,"Consumer")*1000</f>
        <v>0</v>
      </c>
      <c r="L17" s="34">
        <f t="shared" ca="1" si="2"/>
        <v>0</v>
      </c>
      <c r="M17" s="34"/>
      <c r="N17" s="35"/>
      <c r="O17" s="36"/>
      <c r="P17" s="36"/>
      <c r="Q17" s="36"/>
      <c r="R17" s="2"/>
      <c r="S17" s="2"/>
      <c r="T17" s="2"/>
      <c r="U17" s="2"/>
    </row>
    <row r="18" spans="1:21" x14ac:dyDescent="0.25">
      <c r="A18" t="s">
        <v>6</v>
      </c>
      <c r="B18" s="51">
        <f ca="1">SUMIFS(OFFSET(Persistance!$K:$K,0,$A$2-Persistance!$K$1),Persistance!$B:$B,$A18,Persistance!$D:$D,B$5,Persistance!$A:$A,"Consumer")*1000</f>
        <v>0</v>
      </c>
      <c r="C18" s="51">
        <f ca="1">SUMIFS(OFFSET(Persistance!$K:$K,0,$A$2-Persistance!$K$1),Persistance!$B:$B,$A18,Persistance!$D:$D,C$5,Persistance!$A:$A,"Consumer")*1000</f>
        <v>0</v>
      </c>
      <c r="D18" s="51">
        <f ca="1">SUMIFS(OFFSET(Persistance!$K:$K,0,$A$2-Persistance!$K$1),Persistance!$B:$B,$A18,Persistance!$D:$D,D$5,Persistance!$A:$A,"Consumer")*1000</f>
        <v>129810.27751922599</v>
      </c>
      <c r="E18" s="51">
        <f ca="1">SUMIFS(OFFSET(Persistance!$K:$K,0,$A$2-Persistance!$K$1),Persistance!$B:$B,$A18,Persistance!$D:$D,E$5,Persistance!$A:$A,"Consumer")*1000</f>
        <v>0</v>
      </c>
      <c r="F18" s="51">
        <f ca="1">SUMIFS(OFFSET(Persistance!$K:$K,0,$A$2-Persistance!$K$1),Persistance!$B:$B,$A18,Persistance!$D:$D,F$5,Persistance!$A:$A,"Consumer")*1000</f>
        <v>0</v>
      </c>
      <c r="G18" s="51">
        <f ca="1">SUMIFS(OFFSET(Persistance!$K:$K,0,$A$2-Persistance!$K$1),Persistance!$B:$B,$A18,Persistance!$D:$D,G$5,Persistance!$A:$A,"Consumer")*1000</f>
        <v>0</v>
      </c>
      <c r="H18" s="51">
        <f ca="1">SUMIFS(OFFSET(Persistance!$K:$K,0,$A$2-Persistance!$K$1),Persistance!$B:$B,$A18,Persistance!$D:$D,H$5,Persistance!$A:$A,"Consumer")*1000</f>
        <v>0</v>
      </c>
      <c r="I18" s="51">
        <f ca="1">SUMIFS(OFFSET(Persistance!$K:$K,0,$A$2-Persistance!$K$1),Persistance!$B:$B,$A18,Persistance!$D:$D,I$5,Persistance!$A:$A,"Consumer")*1000</f>
        <v>0</v>
      </c>
      <c r="J18" s="51">
        <f ca="1">SUMIFS(OFFSET(Persistance!$K:$K,0,$A$2-Persistance!$K$1),Persistance!$B:$B,$A18,Persistance!$D:$D,J$5,Persistance!$A:$A,"Consumer")*1000</f>
        <v>0</v>
      </c>
      <c r="K18" s="51">
        <f ca="1">SUMIFS(OFFSET(Persistance!$K:$K,0,$A$2-Persistance!$K$1),Persistance!$B:$B,$A18,Persistance!$D:$D,K$5,Persistance!$A:$A,"Consumer")*1000</f>
        <v>0</v>
      </c>
      <c r="L18" s="34">
        <f t="shared" ca="1" si="2"/>
        <v>129810.27751922599</v>
      </c>
      <c r="M18" s="34"/>
      <c r="N18" s="35"/>
      <c r="O18" s="36"/>
      <c r="P18" s="36"/>
      <c r="Q18" s="36"/>
      <c r="R18" s="2"/>
      <c r="S18" s="2"/>
      <c r="T18" s="2"/>
      <c r="U18" s="2"/>
    </row>
    <row r="19" spans="1:21" x14ac:dyDescent="0.25">
      <c r="A19" t="s">
        <v>76</v>
      </c>
      <c r="B19" s="51">
        <f ca="1">SUMIFS(OFFSET(Persistance!$K:$K,0,$A$2-Persistance!$K$1),Persistance!$B:$B,$A19,Persistance!$D:$D,B$5,Persistance!$A:$A,"Consumer")*1000</f>
        <v>0</v>
      </c>
      <c r="C19" s="51">
        <f ca="1">SUMIFS(OFFSET(Persistance!$K:$K,0,$A$2-Persistance!$K$1),Persistance!$B:$B,$A19,Persistance!$D:$D,C$5,Persistance!$A:$A,"Consumer")*1000</f>
        <v>8.8096292469061677</v>
      </c>
      <c r="D19" s="51">
        <f ca="1">SUMIFS(OFFSET(Persistance!$K:$K,0,$A$2-Persistance!$K$1),Persistance!$B:$B,$A19,Persistance!$D:$D,D$5,Persistance!$A:$A,"Consumer")*1000</f>
        <v>1531.6569654899999</v>
      </c>
      <c r="E19" s="51">
        <f ca="1">SUMIFS(OFFSET(Persistance!$K:$K,0,$A$2-Persistance!$K$1),Persistance!$B:$B,$A19,Persistance!$D:$D,E$5,Persistance!$A:$A,"Consumer")*1000</f>
        <v>0</v>
      </c>
      <c r="F19" s="51">
        <f ca="1">SUMIFS(OFFSET(Persistance!$K:$K,0,$A$2-Persistance!$K$1),Persistance!$B:$B,$A19,Persistance!$D:$D,F$5,Persistance!$A:$A,"Consumer")*1000</f>
        <v>0</v>
      </c>
      <c r="G19" s="51">
        <f ca="1">SUMIFS(OFFSET(Persistance!$K:$K,0,$A$2-Persistance!$K$1),Persistance!$B:$B,$A19,Persistance!$D:$D,G$5,Persistance!$A:$A,"Consumer")*1000</f>
        <v>0</v>
      </c>
      <c r="H19" s="51">
        <f ca="1">SUMIFS(OFFSET(Persistance!$K:$K,0,$A$2-Persistance!$K$1),Persistance!$B:$B,$A19,Persistance!$D:$D,H$5,Persistance!$A:$A,"Consumer")*1000</f>
        <v>0</v>
      </c>
      <c r="I19" s="51">
        <f ca="1">SUMIFS(OFFSET(Persistance!$K:$K,0,$A$2-Persistance!$K$1),Persistance!$B:$B,$A19,Persistance!$D:$D,I$5,Persistance!$A:$A,"Consumer")*1000</f>
        <v>0</v>
      </c>
      <c r="J19" s="51">
        <f ca="1">SUMIFS(OFFSET(Persistance!$K:$K,0,$A$2-Persistance!$K$1),Persistance!$B:$B,$A19,Persistance!$D:$D,J$5,Persistance!$A:$A,"Consumer")*1000</f>
        <v>0</v>
      </c>
      <c r="K19" s="51">
        <f ca="1">SUMIFS(OFFSET(Persistance!$K:$K,0,$A$2-Persistance!$K$1),Persistance!$B:$B,$A19,Persistance!$D:$D,K$5,Persistance!$A:$A,"Consumer")*1000</f>
        <v>0</v>
      </c>
      <c r="L19" s="34">
        <f t="shared" ca="1" si="2"/>
        <v>1540.466594736906</v>
      </c>
      <c r="M19" s="34"/>
      <c r="N19" s="35"/>
      <c r="O19" s="36"/>
      <c r="P19" s="36"/>
      <c r="Q19" s="36"/>
      <c r="R19" s="2"/>
      <c r="S19" s="2"/>
      <c r="T19" s="2"/>
      <c r="U19" s="2"/>
    </row>
    <row r="20" spans="1:21" x14ac:dyDescent="0.25">
      <c r="A20" t="s">
        <v>2</v>
      </c>
      <c r="B20" s="51">
        <f ca="1">SUMIFS(OFFSET(Persistance!$K:$K,0,$A$2-Persistance!$K$1),Persistance!$B:$B,$A20,Persistance!$D:$D,B$5,Persistance!$A:$A,"Consumer")*1000</f>
        <v>634.62790547023724</v>
      </c>
      <c r="C20" s="51">
        <f ca="1">SUMIFS(OFFSET(Persistance!$K:$K,0,$A$2-Persistance!$K$1),Persistance!$B:$B,$A20,Persistance!$D:$D,C$5,Persistance!$A:$A,"Consumer")*1000</f>
        <v>373.6511442107049</v>
      </c>
      <c r="D20" s="51">
        <f ca="1">SUMIFS(OFFSET(Persistance!$K:$K,0,$A$2-Persistance!$K$1),Persistance!$B:$B,$A20,Persistance!$D:$D,D$5,Persistance!$A:$A,"Consumer")*1000</f>
        <v>0</v>
      </c>
      <c r="E20" s="51">
        <f ca="1">SUMIFS(OFFSET(Persistance!$K:$K,0,$A$2-Persistance!$K$1),Persistance!$B:$B,$A20,Persistance!$D:$D,E$5,Persistance!$A:$A,"Consumer")*1000</f>
        <v>0</v>
      </c>
      <c r="F20" s="51">
        <f ca="1">SUMIFS(OFFSET(Persistance!$K:$K,0,$A$2-Persistance!$K$1),Persistance!$B:$B,$A20,Persistance!$D:$D,F$5,Persistance!$A:$A,"Consumer")*1000</f>
        <v>0</v>
      </c>
      <c r="G20" s="51">
        <f ca="1">SUMIFS(OFFSET(Persistance!$K:$K,0,$A$2-Persistance!$K$1),Persistance!$B:$B,$A20,Persistance!$D:$D,G$5,Persistance!$A:$A,"Consumer")*1000</f>
        <v>0</v>
      </c>
      <c r="H20" s="51">
        <f ca="1">SUMIFS(OFFSET(Persistance!$K:$K,0,$A$2-Persistance!$K$1),Persistance!$B:$B,$A20,Persistance!$D:$D,H$5,Persistance!$A:$A,"Consumer")*1000</f>
        <v>0</v>
      </c>
      <c r="I20" s="51">
        <f ca="1">SUMIFS(OFFSET(Persistance!$K:$K,0,$A$2-Persistance!$K$1),Persistance!$B:$B,$A20,Persistance!$D:$D,I$5,Persistance!$A:$A,"Consumer")*1000</f>
        <v>0</v>
      </c>
      <c r="J20" s="51">
        <f ca="1">SUMIFS(OFFSET(Persistance!$K:$K,0,$A$2-Persistance!$K$1),Persistance!$B:$B,$A20,Persistance!$D:$D,J$5,Persistance!$A:$A,"Consumer")*1000</f>
        <v>0</v>
      </c>
      <c r="K20" s="51">
        <f ca="1">SUMIFS(OFFSET(Persistance!$K:$K,0,$A$2-Persistance!$K$1),Persistance!$B:$B,$A20,Persistance!$D:$D,K$5,Persistance!$A:$A,"Consumer")*1000</f>
        <v>0</v>
      </c>
      <c r="L20" s="34">
        <f t="shared" ca="1" si="2"/>
        <v>1008.2790496809421</v>
      </c>
      <c r="M20" s="34"/>
      <c r="N20" s="35"/>
      <c r="O20" s="36"/>
      <c r="P20" s="36"/>
      <c r="Q20" s="36"/>
      <c r="R20" s="2"/>
      <c r="S20" s="2"/>
      <c r="T20" s="2"/>
      <c r="U20" s="2"/>
    </row>
    <row r="21" spans="1:21" x14ac:dyDescent="0.25">
      <c r="A21" t="s">
        <v>54</v>
      </c>
      <c r="B21" s="51">
        <f ca="1">SUMIFS(OFFSET(Persistance!$K:$K,0,$A$2-Persistance!$K$1),Persistance!$B:$B,$A21,Persistance!$D:$D,B$5,Persistance!$A:$A,"Consumer")*1000</f>
        <v>0</v>
      </c>
      <c r="C21" s="51">
        <f ca="1">SUMIFS(OFFSET(Persistance!$K:$K,0,$A$2-Persistance!$K$1),Persistance!$B:$B,$A21,Persistance!$D:$D,C$5,Persistance!$A:$A,"Consumer")*1000</f>
        <v>0</v>
      </c>
      <c r="D21" s="51">
        <f ca="1">SUMIFS(OFFSET(Persistance!$K:$K,0,$A$2-Persistance!$K$1),Persistance!$B:$B,$A21,Persistance!$D:$D,D$5,Persistance!$A:$A,"Consumer")*1000</f>
        <v>0</v>
      </c>
      <c r="E21" s="51">
        <f ca="1">SUMIFS(OFFSET(Persistance!$K:$K,0,$A$2-Persistance!$K$1),Persistance!$B:$B,$A21,Persistance!$D:$D,E$5,Persistance!$A:$A,"Consumer")*1000</f>
        <v>0</v>
      </c>
      <c r="F21" s="51">
        <f ca="1">SUMIFS(OFFSET(Persistance!$K:$K,0,$A$2-Persistance!$K$1),Persistance!$B:$B,$A21,Persistance!$D:$D,F$5,Persistance!$A:$A,"Consumer")*1000</f>
        <v>0</v>
      </c>
      <c r="G21" s="51">
        <f ca="1">SUMIFS(OFFSET(Persistance!$K:$K,0,$A$2-Persistance!$K$1),Persistance!$B:$B,$A21,Persistance!$D:$D,G$5,Persistance!$A:$A,"Consumer")*1000</f>
        <v>0</v>
      </c>
      <c r="H21" s="51">
        <f ca="1">SUMIFS(OFFSET(Persistance!$K:$K,0,$A$2-Persistance!$K$1),Persistance!$B:$B,$A21,Persistance!$D:$D,H$5,Persistance!$A:$A,"Consumer")*1000</f>
        <v>0</v>
      </c>
      <c r="I21" s="51">
        <f ca="1">SUMIFS(OFFSET(Persistance!$K:$K,0,$A$2-Persistance!$K$1),Persistance!$B:$B,$A21,Persistance!$D:$D,I$5,Persistance!$A:$A,"Consumer")*1000</f>
        <v>0</v>
      </c>
      <c r="J21" s="51">
        <f ca="1">SUMIFS(OFFSET(Persistance!$K:$K,0,$A$2-Persistance!$K$1),Persistance!$B:$B,$A21,Persistance!$D:$D,J$5,Persistance!$A:$A,"Consumer")*1000</f>
        <v>0</v>
      </c>
      <c r="K21" s="51">
        <f ca="1">SUMIFS(OFFSET(Persistance!$K:$K,0,$A$2-Persistance!$K$1),Persistance!$B:$B,$A21,Persistance!$D:$D,K$5,Persistance!$A:$A,"Consumer")*1000</f>
        <v>0</v>
      </c>
      <c r="L21" s="34">
        <f t="shared" ca="1" si="2"/>
        <v>0</v>
      </c>
      <c r="M21" s="34"/>
      <c r="N21" s="35"/>
      <c r="O21" s="36"/>
      <c r="P21" s="36"/>
      <c r="Q21" s="36"/>
      <c r="R21" s="2"/>
      <c r="S21" s="2"/>
      <c r="T21" s="2"/>
      <c r="U21" s="2"/>
    </row>
    <row r="22" spans="1:21" x14ac:dyDescent="0.25">
      <c r="A22" t="s">
        <v>63</v>
      </c>
      <c r="B22" s="51">
        <f ca="1">SUMIFS(OFFSET(Persistance!$K:$K,0,$A$2-Persistance!$K$1),Persistance!$B:$B,$A22,Persistance!$D:$D,B$5,Persistance!$A:$A,"Consumer")*1000</f>
        <v>0</v>
      </c>
      <c r="C22" s="51">
        <f ca="1">SUMIFS(OFFSET(Persistance!$K:$K,0,$A$2-Persistance!$K$1),Persistance!$B:$B,$A22,Persistance!$D:$D,C$5,Persistance!$A:$A,"Consumer")*1000</f>
        <v>0</v>
      </c>
      <c r="D22" s="51">
        <f ca="1">SUMIFS(OFFSET(Persistance!$K:$K,0,$A$2-Persistance!$K$1),Persistance!$B:$B,$A22,Persistance!$D:$D,D$5,Persistance!$A:$A,"Consumer")*1000</f>
        <v>0</v>
      </c>
      <c r="E22" s="51">
        <f ca="1">SUMIFS(OFFSET(Persistance!$K:$K,0,$A$2-Persistance!$K$1),Persistance!$B:$B,$A22,Persistance!$D:$D,E$5,Persistance!$A:$A,"Consumer")*1000</f>
        <v>0</v>
      </c>
      <c r="F22" s="51">
        <f ca="1">SUMIFS(OFFSET(Persistance!$K:$K,0,$A$2-Persistance!$K$1),Persistance!$B:$B,$A22,Persistance!$D:$D,F$5,Persistance!$A:$A,"Consumer")*1000</f>
        <v>0</v>
      </c>
      <c r="G22" s="51">
        <f ca="1">SUMIFS(OFFSET(Persistance!$K:$K,0,$A$2-Persistance!$K$1),Persistance!$B:$B,$A22,Persistance!$D:$D,G$5,Persistance!$A:$A,"Consumer")*1000</f>
        <v>0</v>
      </c>
      <c r="H22" s="51">
        <f ca="1">SUMIFS(OFFSET(Persistance!$K:$K,0,$A$2-Persistance!$K$1),Persistance!$B:$B,$A22,Persistance!$D:$D,H$5,Persistance!$A:$A,"Consumer")*1000</f>
        <v>0</v>
      </c>
      <c r="I22" s="51">
        <f ca="1">SUMIFS(OFFSET(Persistance!$K:$K,0,$A$2-Persistance!$K$1),Persistance!$B:$B,$A22,Persistance!$D:$D,I$5,Persistance!$A:$A,"Consumer")*1000</f>
        <v>0</v>
      </c>
      <c r="J22" s="51">
        <f ca="1">SUMIFS(OFFSET(Persistance!$K:$K,0,$A$2-Persistance!$K$1),Persistance!$B:$B,$A22,Persistance!$D:$D,J$5,Persistance!$A:$A,"Consumer")*1000</f>
        <v>0</v>
      </c>
      <c r="K22" s="51">
        <f ca="1">SUMIFS(OFFSET(Persistance!$K:$K,0,$A$2-Persistance!$K$1),Persistance!$B:$B,$A22,Persistance!$D:$D,K$5,Persistance!$A:$A,"Consumer")*1000</f>
        <v>0</v>
      </c>
      <c r="L22" s="34">
        <f t="shared" ca="1" si="2"/>
        <v>0</v>
      </c>
      <c r="M22" s="34"/>
      <c r="N22" s="35"/>
      <c r="O22" s="36"/>
      <c r="P22" s="36"/>
      <c r="Q22" s="36"/>
      <c r="R22" s="2"/>
      <c r="S22" s="2"/>
      <c r="T22" s="2"/>
      <c r="U22" s="2"/>
    </row>
    <row r="23" spans="1:21" x14ac:dyDescent="0.25">
      <c r="A23" t="s">
        <v>71</v>
      </c>
      <c r="B23" s="51">
        <f ca="1">SUMIFS(OFFSET(Persistance!$K:$K,0,$A$2-Persistance!$K$1),Persistance!$B:$B,$A23,Persistance!$D:$D,B$5,Persistance!$A:$A,"Consumer")*1000</f>
        <v>0</v>
      </c>
      <c r="C23" s="51">
        <f ca="1">SUMIFS(OFFSET(Persistance!$K:$K,0,$A$2-Persistance!$K$1),Persistance!$B:$B,$A23,Persistance!$D:$D,C$5,Persistance!$A:$A,"Consumer")*1000</f>
        <v>0</v>
      </c>
      <c r="D23" s="51">
        <f ca="1">SUMIFS(OFFSET(Persistance!$K:$K,0,$A$2-Persistance!$K$1),Persistance!$B:$B,$A23,Persistance!$D:$D,D$5,Persistance!$A:$A,"Consumer")*1000</f>
        <v>0</v>
      </c>
      <c r="E23" s="51">
        <f ca="1">SUMIFS(OFFSET(Persistance!$K:$K,0,$A$2-Persistance!$K$1),Persistance!$B:$B,$A23,Persistance!$D:$D,E$5,Persistance!$A:$A,"Consumer")*1000</f>
        <v>0</v>
      </c>
      <c r="F23" s="51">
        <f ca="1">SUMIFS(OFFSET(Persistance!$K:$K,0,$A$2-Persistance!$K$1),Persistance!$B:$B,$A23,Persistance!$D:$D,F$5,Persistance!$A:$A,"Consumer")*1000</f>
        <v>0</v>
      </c>
      <c r="G23" s="51">
        <f ca="1">SUMIFS(OFFSET(Persistance!$K:$K,0,$A$2-Persistance!$K$1),Persistance!$B:$B,$A23,Persistance!$D:$D,G$5,Persistance!$A:$A,"Consumer")*1000</f>
        <v>0</v>
      </c>
      <c r="H23" s="51">
        <f ca="1">SUMIFS(OFFSET(Persistance!$K:$K,0,$A$2-Persistance!$K$1),Persistance!$B:$B,$A23,Persistance!$D:$D,H$5,Persistance!$A:$A,"Consumer")*1000</f>
        <v>0</v>
      </c>
      <c r="I23" s="51">
        <f ca="1">SUMIFS(OFFSET(Persistance!$K:$K,0,$A$2-Persistance!$K$1),Persistance!$B:$B,$A23,Persistance!$D:$D,I$5,Persistance!$A:$A,"Consumer")*1000</f>
        <v>0</v>
      </c>
      <c r="J23" s="51">
        <f ca="1">SUMIFS(OFFSET(Persistance!$K:$K,0,$A$2-Persistance!$K$1),Persistance!$B:$B,$A23,Persistance!$D:$D,J$5,Persistance!$A:$A,"Consumer")*1000</f>
        <v>0</v>
      </c>
      <c r="K23" s="51">
        <f ca="1">SUMIFS(OFFSET(Persistance!$K:$K,0,$A$2-Persistance!$K$1),Persistance!$B:$B,$A23,Persistance!$D:$D,K$5,Persistance!$A:$A,"Consumer")*1000</f>
        <v>0</v>
      </c>
      <c r="L23" s="34">
        <f t="shared" ca="1" si="2"/>
        <v>0</v>
      </c>
      <c r="M23" s="34"/>
      <c r="N23" s="35"/>
      <c r="O23" s="36"/>
      <c r="P23" s="36"/>
      <c r="Q23" s="36"/>
      <c r="R23" s="2"/>
      <c r="S23" s="2"/>
      <c r="T23" s="2"/>
      <c r="U23" s="2"/>
    </row>
    <row r="24" spans="1:21" x14ac:dyDescent="0.25">
      <c r="A24" t="s">
        <v>72</v>
      </c>
      <c r="B24" s="51">
        <f ca="1">SUMIFS(OFFSET(Persistance!$K:$K,0,$A$2-Persistance!$K$1),Persistance!$B:$B,$A24,Persistance!$D:$D,B$5,Persistance!$A:$A,"Consumer")*1000</f>
        <v>0</v>
      </c>
      <c r="C24" s="51">
        <f ca="1">SUMIFS(OFFSET(Persistance!$K:$K,0,$A$2-Persistance!$K$1),Persistance!$B:$B,$A24,Persistance!$D:$D,C$5,Persistance!$A:$A,"Consumer")*1000</f>
        <v>0</v>
      </c>
      <c r="D24" s="51">
        <f ca="1">SUMIFS(OFFSET(Persistance!$K:$K,0,$A$2-Persistance!$K$1),Persistance!$B:$B,$A24,Persistance!$D:$D,D$5,Persistance!$A:$A,"Consumer")*1000</f>
        <v>0</v>
      </c>
      <c r="E24" s="51">
        <f ca="1">SUMIFS(OFFSET(Persistance!$K:$K,0,$A$2-Persistance!$K$1),Persistance!$B:$B,$A24,Persistance!$D:$D,E$5,Persistance!$A:$A,"Consumer")*1000</f>
        <v>0</v>
      </c>
      <c r="F24" s="51">
        <f ca="1">SUMIFS(OFFSET(Persistance!$K:$K,0,$A$2-Persistance!$K$1),Persistance!$B:$B,$A24,Persistance!$D:$D,F$5,Persistance!$A:$A,"Consumer")*1000</f>
        <v>0</v>
      </c>
      <c r="G24" s="51">
        <f ca="1">SUMIFS(OFFSET(Persistance!$K:$K,0,$A$2-Persistance!$K$1),Persistance!$B:$B,$A24,Persistance!$D:$D,G$5,Persistance!$A:$A,"Consumer")*1000</f>
        <v>0</v>
      </c>
      <c r="H24" s="51">
        <f ca="1">SUMIFS(OFFSET(Persistance!$K:$K,0,$A$2-Persistance!$K$1),Persistance!$B:$B,$A24,Persistance!$D:$D,H$5,Persistance!$A:$A,"Consumer")*1000</f>
        <v>0</v>
      </c>
      <c r="I24" s="51">
        <f ca="1">SUMIFS(OFFSET(Persistance!$K:$K,0,$A$2-Persistance!$K$1),Persistance!$B:$B,$A24,Persistance!$D:$D,I$5,Persistance!$A:$A,"Consumer")*1000</f>
        <v>0</v>
      </c>
      <c r="J24" s="51">
        <f ca="1">SUMIFS(OFFSET(Persistance!$K:$K,0,$A$2-Persistance!$K$1),Persistance!$B:$B,$A24,Persistance!$D:$D,J$5,Persistance!$A:$A,"Consumer")*1000</f>
        <v>0</v>
      </c>
      <c r="K24" s="51">
        <f ca="1">SUMIFS(OFFSET(Persistance!$K:$K,0,$A$2-Persistance!$K$1),Persistance!$B:$B,$A24,Persistance!$D:$D,K$5,Persistance!$A:$A,"Consumer")*1000</f>
        <v>0</v>
      </c>
      <c r="L24" s="34">
        <f t="shared" ca="1" si="2"/>
        <v>0</v>
      </c>
      <c r="M24" s="34"/>
      <c r="N24" s="35"/>
      <c r="O24" s="36"/>
      <c r="P24" s="36"/>
      <c r="Q24" s="36"/>
      <c r="R24" s="2"/>
      <c r="S24" s="2"/>
      <c r="T24" s="2"/>
      <c r="U24" s="2"/>
    </row>
    <row r="25" spans="1:21" x14ac:dyDescent="0.25">
      <c r="A25" t="s">
        <v>40</v>
      </c>
      <c r="B25" s="51">
        <f ca="1">SUMIFS(OFFSET(Persistance!$K:$K,0,$A$2-Persistance!$K$1),Persistance!$B:$B,$A25,Persistance!$D:$D,B$5,Persistance!$A:$A,"Consumer")*1000</f>
        <v>0</v>
      </c>
      <c r="C25" s="51">
        <f ca="1">SUMIFS(OFFSET(Persistance!$K:$K,0,$A$2-Persistance!$K$1),Persistance!$B:$B,$A25,Persistance!$D:$D,C$5,Persistance!$A:$A,"Consumer")*1000</f>
        <v>0</v>
      </c>
      <c r="D25" s="51">
        <f ca="1">SUMIFS(OFFSET(Persistance!$K:$K,0,$A$2-Persistance!$K$1),Persistance!$B:$B,$A25,Persistance!$D:$D,D$5,Persistance!$A:$A,"Consumer")*1000</f>
        <v>0</v>
      </c>
      <c r="E25" s="51">
        <f ca="1">SUMIFS(OFFSET(Persistance!$K:$K,0,$A$2-Persistance!$K$1),Persistance!$B:$B,$A25,Persistance!$D:$D,E$5,Persistance!$A:$A,"Consumer")*1000</f>
        <v>0</v>
      </c>
      <c r="F25" s="51">
        <f ca="1">SUMIFS(OFFSET(Persistance!$K:$K,0,$A$2-Persistance!$K$1),Persistance!$B:$B,$A25,Persistance!$D:$D,F$5,Persistance!$A:$A,"Consumer")*1000</f>
        <v>0</v>
      </c>
      <c r="G25" s="51">
        <f ca="1">SUMIFS(OFFSET(Persistance!$K:$K,0,$A$2-Persistance!$K$1),Persistance!$B:$B,$A25,Persistance!$D:$D,G$5,Persistance!$A:$A,"Consumer")*1000</f>
        <v>0</v>
      </c>
      <c r="H25" s="51">
        <f ca="1">SUMIFS(OFFSET(Persistance!$K:$K,0,$A$2-Persistance!$K$1),Persistance!$B:$B,$A25,Persistance!$D:$D,H$5,Persistance!$A:$A,"Consumer")*1000</f>
        <v>0</v>
      </c>
      <c r="I25" s="51">
        <f ca="1">SUMIFS(OFFSET(Persistance!$K:$K,0,$A$2-Persistance!$K$1),Persistance!$B:$B,$A25,Persistance!$D:$D,I$5,Persistance!$A:$A,"Consumer")*1000</f>
        <v>0</v>
      </c>
      <c r="J25" s="51">
        <f ca="1">SUMIFS(OFFSET(Persistance!$K:$K,0,$A$2-Persistance!$K$1),Persistance!$B:$B,$A25,Persistance!$D:$D,J$5,Persistance!$A:$A,"Consumer")*1000</f>
        <v>0</v>
      </c>
      <c r="K25" s="51">
        <f ca="1">SUMIFS(OFFSET(Persistance!$K:$K,0,$A$2-Persistance!$K$1),Persistance!$B:$B,$A25,Persistance!$D:$D,K$5,Persistance!$A:$A,"Consumer")*1000</f>
        <v>0</v>
      </c>
      <c r="L25" s="34">
        <f t="shared" ca="1" si="2"/>
        <v>0</v>
      </c>
      <c r="M25" s="34"/>
      <c r="N25" s="35"/>
      <c r="O25" s="36"/>
      <c r="P25" s="36"/>
      <c r="Q25" s="36"/>
      <c r="R25" s="2"/>
      <c r="S25" s="2"/>
      <c r="T25" s="2"/>
      <c r="U25" s="2"/>
    </row>
    <row r="26" spans="1:21" x14ac:dyDescent="0.25">
      <c r="A26" t="s">
        <v>55</v>
      </c>
      <c r="B26" s="51">
        <f ca="1">SUMIFS(OFFSET(Persistance!$K:$K,0,$A$2-Persistance!$K$1),Persistance!$B:$B,$A26,Persistance!$D:$D,B$5,Persistance!$A:$A,"Consumer")*1000</f>
        <v>0</v>
      </c>
      <c r="C26" s="51">
        <f ca="1">SUMIFS(OFFSET(Persistance!$K:$K,0,$A$2-Persistance!$K$1),Persistance!$B:$B,$A26,Persistance!$D:$D,C$5,Persistance!$A:$A,"Consumer")*1000</f>
        <v>0</v>
      </c>
      <c r="D26" s="51">
        <f ca="1">SUMIFS(OFFSET(Persistance!$K:$K,0,$A$2-Persistance!$K$1),Persistance!$B:$B,$A26,Persistance!$D:$D,D$5,Persistance!$A:$A,"Consumer")*1000</f>
        <v>0</v>
      </c>
      <c r="E26" s="51">
        <f ca="1">SUMIFS(OFFSET(Persistance!$K:$K,0,$A$2-Persistance!$K$1),Persistance!$B:$B,$A26,Persistance!$D:$D,E$5,Persistance!$A:$A,"Consumer")*1000</f>
        <v>0</v>
      </c>
      <c r="F26" s="51">
        <f ca="1">SUMIFS(OFFSET(Persistance!$K:$K,0,$A$2-Persistance!$K$1),Persistance!$B:$B,$A26,Persistance!$D:$D,F$5,Persistance!$A:$A,"Consumer")*1000</f>
        <v>0</v>
      </c>
      <c r="G26" s="51">
        <f ca="1">SUMIFS(OFFSET(Persistance!$K:$K,0,$A$2-Persistance!$K$1),Persistance!$B:$B,$A26,Persistance!$D:$D,G$5,Persistance!$A:$A,"Consumer")*1000</f>
        <v>0</v>
      </c>
      <c r="H26" s="51">
        <f ca="1">SUMIFS(OFFSET(Persistance!$K:$K,0,$A$2-Persistance!$K$1),Persistance!$B:$B,$A26,Persistance!$D:$D,H$5,Persistance!$A:$A,"Consumer")*1000</f>
        <v>0</v>
      </c>
      <c r="I26" s="51">
        <f ca="1">SUMIFS(OFFSET(Persistance!$K:$K,0,$A$2-Persistance!$K$1),Persistance!$B:$B,$A26,Persistance!$D:$D,I$5,Persistance!$A:$A,"Consumer")*1000</f>
        <v>0</v>
      </c>
      <c r="J26" s="51">
        <f ca="1">SUMIFS(OFFSET(Persistance!$K:$K,0,$A$2-Persistance!$K$1),Persistance!$B:$B,$A26,Persistance!$D:$D,J$5,Persistance!$A:$A,"Consumer")*1000</f>
        <v>0</v>
      </c>
      <c r="K26" s="51">
        <f ca="1">SUMIFS(OFFSET(Persistance!$K:$K,0,$A$2-Persistance!$K$1),Persistance!$B:$B,$A26,Persistance!$D:$D,K$5,Persistance!$A:$A,"Consumer")*1000</f>
        <v>0</v>
      </c>
      <c r="L26" s="34">
        <f t="shared" ca="1" si="2"/>
        <v>0</v>
      </c>
      <c r="M26" s="34"/>
      <c r="N26" s="35"/>
      <c r="O26" s="36"/>
      <c r="P26" s="36"/>
      <c r="Q26" s="36"/>
      <c r="R26" s="2"/>
      <c r="S26" s="2"/>
      <c r="T26" s="2"/>
      <c r="U26" s="2"/>
    </row>
    <row r="27" spans="1:21" x14ac:dyDescent="0.25">
      <c r="A27" t="s">
        <v>39</v>
      </c>
      <c r="B27" s="51">
        <f ca="1">SUMIFS(OFFSET(Persistance!$K:$K,0,$A$2-Persistance!$K$1),Persistance!$B:$B,$A27,Persistance!$D:$D,B$5,Persistance!$A:$A,"Consumer")*1000</f>
        <v>0</v>
      </c>
      <c r="C27" s="51">
        <f ca="1">SUMIFS(OFFSET(Persistance!$K:$K,0,$A$2-Persistance!$K$1),Persistance!$B:$B,$A27,Persistance!$D:$D,C$5,Persistance!$A:$A,"Consumer")*1000</f>
        <v>0</v>
      </c>
      <c r="D27" s="51">
        <f ca="1">SUMIFS(OFFSET(Persistance!$K:$K,0,$A$2-Persistance!$K$1),Persistance!$B:$B,$A27,Persistance!$D:$D,D$5,Persistance!$A:$A,"Consumer")*1000</f>
        <v>0</v>
      </c>
      <c r="E27" s="51">
        <f ca="1">SUMIFS(OFFSET(Persistance!$K:$K,0,$A$2-Persistance!$K$1),Persistance!$B:$B,$A27,Persistance!$D:$D,E$5,Persistance!$A:$A,"Consumer")*1000</f>
        <v>0</v>
      </c>
      <c r="F27" s="51">
        <f ca="1">SUMIFS(OFFSET(Persistance!$K:$K,0,$A$2-Persistance!$K$1),Persistance!$B:$B,$A27,Persistance!$D:$D,F$5,Persistance!$A:$A,"Consumer")*1000</f>
        <v>0</v>
      </c>
      <c r="G27" s="51">
        <f ca="1">SUMIFS(OFFSET(Persistance!$K:$K,0,$A$2-Persistance!$K$1),Persistance!$B:$B,$A27,Persistance!$D:$D,G$5,Persistance!$A:$A,"Consumer")*1000</f>
        <v>0</v>
      </c>
      <c r="H27" s="51">
        <f ca="1">SUMIFS(OFFSET(Persistance!$K:$K,0,$A$2-Persistance!$K$1),Persistance!$B:$B,$A27,Persistance!$D:$D,H$5,Persistance!$A:$A,"Consumer")*1000</f>
        <v>0</v>
      </c>
      <c r="I27" s="51">
        <f ca="1">SUMIFS(OFFSET(Persistance!$K:$K,0,$A$2-Persistance!$K$1),Persistance!$B:$B,$A27,Persistance!$D:$D,I$5,Persistance!$A:$A,"Consumer")*1000</f>
        <v>0</v>
      </c>
      <c r="J27" s="51">
        <f ca="1">SUMIFS(OFFSET(Persistance!$K:$K,0,$A$2-Persistance!$K$1),Persistance!$B:$B,$A27,Persistance!$D:$D,J$5,Persistance!$A:$A,"Consumer")*1000</f>
        <v>0</v>
      </c>
      <c r="K27" s="51">
        <f ca="1">SUMIFS(OFFSET(Persistance!$K:$K,0,$A$2-Persistance!$K$1),Persistance!$B:$B,$A27,Persistance!$D:$D,K$5,Persistance!$A:$A,"Consumer")*1000</f>
        <v>0</v>
      </c>
      <c r="L27" s="34">
        <f t="shared" ca="1" si="2"/>
        <v>0</v>
      </c>
      <c r="M27" s="34"/>
      <c r="N27" s="35"/>
      <c r="O27" s="36"/>
      <c r="P27" s="36"/>
      <c r="Q27" s="36"/>
      <c r="R27" s="2"/>
      <c r="S27" s="2"/>
      <c r="T27" s="2"/>
      <c r="U27" s="2"/>
    </row>
    <row r="28" spans="1:21" x14ac:dyDescent="0.25">
      <c r="A28" t="s">
        <v>65</v>
      </c>
      <c r="B28" s="51">
        <f ca="1">SUMIFS(OFFSET(Persistance!$K:$K,0,$A$2-Persistance!$K$1),Persistance!$B:$B,$A28,Persistance!$D:$D,B$5,Persistance!$A:$A,"Consumer")*1000</f>
        <v>0</v>
      </c>
      <c r="C28" s="51">
        <f ca="1">SUMIFS(OFFSET(Persistance!$K:$K,0,$A$2-Persistance!$K$1),Persistance!$B:$B,$A28,Persistance!$D:$D,C$5,Persistance!$A:$A,"Consumer")*1000</f>
        <v>0</v>
      </c>
      <c r="D28" s="51">
        <f ca="1">SUMIFS(OFFSET(Persistance!$K:$K,0,$A$2-Persistance!$K$1),Persistance!$B:$B,$A28,Persistance!$D:$D,D$5,Persistance!$A:$A,"Consumer")*1000</f>
        <v>0</v>
      </c>
      <c r="E28" s="51">
        <f ca="1">SUMIFS(OFFSET(Persistance!$K:$K,0,$A$2-Persistance!$K$1),Persistance!$B:$B,$A28,Persistance!$D:$D,E$5,Persistance!$A:$A,"Consumer")*1000</f>
        <v>0</v>
      </c>
      <c r="F28" s="51">
        <f ca="1">SUMIFS(OFFSET(Persistance!$K:$K,0,$A$2-Persistance!$K$1),Persistance!$B:$B,$A28,Persistance!$D:$D,F$5,Persistance!$A:$A,"Consumer")*1000</f>
        <v>0</v>
      </c>
      <c r="G28" s="51">
        <f ca="1">SUMIFS(OFFSET(Persistance!$K:$K,0,$A$2-Persistance!$K$1),Persistance!$B:$B,$A28,Persistance!$D:$D,G$5,Persistance!$A:$A,"Consumer")*1000</f>
        <v>0</v>
      </c>
      <c r="H28" s="51">
        <f ca="1">SUMIFS(OFFSET(Persistance!$K:$K,0,$A$2-Persistance!$K$1),Persistance!$B:$B,$A28,Persistance!$D:$D,H$5,Persistance!$A:$A,"Consumer")*1000</f>
        <v>0</v>
      </c>
      <c r="I28" s="51">
        <f ca="1">SUMIFS(OFFSET(Persistance!$K:$K,0,$A$2-Persistance!$K$1),Persistance!$B:$B,$A28,Persistance!$D:$D,I$5,Persistance!$A:$A,"Consumer")*1000</f>
        <v>0</v>
      </c>
      <c r="J28" s="51">
        <f ca="1">SUMIFS(OFFSET(Persistance!$K:$K,0,$A$2-Persistance!$K$1),Persistance!$B:$B,$A28,Persistance!$D:$D,J$5,Persistance!$A:$A,"Consumer")*1000</f>
        <v>0</v>
      </c>
      <c r="K28" s="51">
        <f ca="1">SUMIFS(OFFSET(Persistance!$K:$K,0,$A$2-Persistance!$K$1),Persistance!$B:$B,$A28,Persistance!$D:$D,K$5,Persistance!$A:$A,"Consumer")*1000</f>
        <v>0</v>
      </c>
      <c r="L28" s="34">
        <f t="shared" ca="1" si="2"/>
        <v>0</v>
      </c>
      <c r="M28" s="34"/>
      <c r="N28" s="35"/>
      <c r="O28" s="36"/>
      <c r="P28" s="36"/>
      <c r="Q28" s="36"/>
      <c r="R28" s="2"/>
      <c r="S28" s="28" t="s">
        <v>49</v>
      </c>
      <c r="T28" s="28" t="s">
        <v>17</v>
      </c>
      <c r="U28" s="2" t="s">
        <v>50</v>
      </c>
    </row>
    <row r="29" spans="1:21" x14ac:dyDescent="0.25"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6"/>
      <c r="Q29" s="36"/>
      <c r="R29" s="2"/>
      <c r="S29" s="29">
        <f ca="1">$A$2</f>
        <v>2013</v>
      </c>
      <c r="T29" s="50">
        <f ca="1">AVERAGEIFS(Rates!E:E,Rates!F:F,'2013'!S29,Rates!G:G,"Consumer")</f>
        <v>1.54E-2</v>
      </c>
      <c r="U29" s="30">
        <f ca="1">AVERAGEIFS(Rates!B:B,Rates!F:F,'2013'!S29,Rates!G:G,"Consumer")</f>
        <v>41426</v>
      </c>
    </row>
    <row r="30" spans="1:21" x14ac:dyDescent="0.25">
      <c r="A30" t="s">
        <v>9</v>
      </c>
      <c r="B30" s="64">
        <f ca="1">SUM(B8:B29)</f>
        <v>84137.961229266366</v>
      </c>
      <c r="C30" s="64">
        <f ca="1">SUM(C8:C29)</f>
        <v>48175.241413507509</v>
      </c>
      <c r="D30" s="64">
        <f ca="1">SUM(D8:D29)</f>
        <v>169920.77315167367</v>
      </c>
      <c r="E30" s="64">
        <f t="shared" ref="E30:K30" ca="1" si="3">SUM(E8:E29)</f>
        <v>0</v>
      </c>
      <c r="F30" s="64">
        <f t="shared" ca="1" si="3"/>
        <v>0</v>
      </c>
      <c r="G30" s="64">
        <f t="shared" ca="1" si="3"/>
        <v>0</v>
      </c>
      <c r="H30" s="64">
        <f t="shared" ca="1" si="3"/>
        <v>0</v>
      </c>
      <c r="I30" s="64">
        <f t="shared" ca="1" si="3"/>
        <v>0</v>
      </c>
      <c r="J30" s="64">
        <f t="shared" ca="1" si="3"/>
        <v>0</v>
      </c>
      <c r="K30" s="64">
        <f t="shared" ca="1" si="3"/>
        <v>0</v>
      </c>
      <c r="L30" s="64">
        <f ca="1">SUM(L8:L29)</f>
        <v>302233.97579444753</v>
      </c>
      <c r="M30" s="64">
        <f>Summary!$G$6</f>
        <v>658968</v>
      </c>
      <c r="N30" s="64">
        <f ca="1">(((MONTH(U29)-1)/12)*T30)+(((12-(MONTH(U29)-1))/12)*T29)</f>
        <v>1.4608333333333334E-2</v>
      </c>
      <c r="O30" s="64">
        <f ca="1">ROUND(L30*N30,2)</f>
        <v>4415.13</v>
      </c>
      <c r="P30" s="64">
        <f ca="1">ROUND(M30*N30,2)</f>
        <v>9626.42</v>
      </c>
      <c r="Q30" s="64">
        <f ca="1">+O30-P30</f>
        <v>-5211.29</v>
      </c>
      <c r="R30" s="2"/>
      <c r="S30" s="29">
        <f ca="1">S29-1</f>
        <v>2012</v>
      </c>
      <c r="T30" s="50">
        <f ca="1">AVERAGEIFS(Rates!E:E,Rates!F:F,'2013'!S30,Rates!G:G,"Consumer")</f>
        <v>1.35E-2</v>
      </c>
      <c r="U30" s="2"/>
    </row>
    <row r="31" spans="1:21" x14ac:dyDescent="0.25">
      <c r="B31" s="2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6"/>
      <c r="Q31" s="36"/>
      <c r="R31" s="2"/>
      <c r="S31" s="2"/>
      <c r="T31" s="2"/>
      <c r="U31" s="31"/>
    </row>
    <row r="32" spans="1:21" x14ac:dyDescent="0.25">
      <c r="A32" s="23" t="s">
        <v>45</v>
      </c>
      <c r="B32" s="51">
        <f ca="1">SUMIFS(OFFSET(Persistance!$K:$K,0,$A$2-Persistance!$K$1),Persistance!$B:$B,$A32,Persistance!$D:$D,B$5,Persistance!$A:$A,"Business")*1000</f>
        <v>0</v>
      </c>
      <c r="C32" s="51">
        <f ca="1">SUMIFS(OFFSET(Persistance!$K:$K,0,$A$2-Persistance!$K$1),Persistance!$B:$B,$A32,Persistance!$D:$D,C$5,Persistance!$A:$A,"Business")*1000</f>
        <v>0</v>
      </c>
      <c r="D32" s="51">
        <f ca="1">SUMIFS(OFFSET(Persistance!$K:$K,0,$A$2-Persistance!$K$1),Persistance!$B:$B,$A32,Persistance!$D:$D,D$5,Persistance!$A:$A,"Business")*1000</f>
        <v>0</v>
      </c>
      <c r="E32" s="51">
        <f ca="1">SUMIFS(OFFSET(Persistance!$K:$K,0,$A$2-Persistance!$K$1),Persistance!$B:$B,$A32,Persistance!$D:$D,E$5,Persistance!$A:$A,"Business")*1000</f>
        <v>0</v>
      </c>
      <c r="F32" s="51">
        <f ca="1">SUMIFS(OFFSET(Persistance!$K:$K,0,$A$2-Persistance!$K$1),Persistance!$B:$B,$A32,Persistance!$D:$D,F$5,Persistance!$A:$A,"Business")*1000</f>
        <v>0</v>
      </c>
      <c r="G32" s="51">
        <f ca="1">SUMIFS(OFFSET(Persistance!$K:$K,0,$A$2-Persistance!$K$1),Persistance!$B:$B,$A32,Persistance!$D:$D,G$5,Persistance!$A:$A,"Business")*1000</f>
        <v>0</v>
      </c>
      <c r="H32" s="51">
        <f ca="1">SUMIFS(OFFSET(Persistance!$K:$K,0,$A$2-Persistance!$K$1),Persistance!$B:$B,$A32,Persistance!$D:$D,H$5,Persistance!$A:$A,"Business")*1000</f>
        <v>0</v>
      </c>
      <c r="I32" s="51">
        <f ca="1">SUMIFS(OFFSET(Persistance!$K:$K,0,$A$2-Persistance!$K$1),Persistance!$B:$B,$A32,Persistance!$D:$D,I$5,Persistance!$A:$A,"Business")*1000</f>
        <v>0</v>
      </c>
      <c r="J32" s="51">
        <f ca="1">SUMIFS(OFFSET(Persistance!$K:$K,0,$A$2-Persistance!$K$1),Persistance!$B:$B,$A32,Persistance!$D:$D,J$5,Persistance!$A:$A,"Business")*1000</f>
        <v>0</v>
      </c>
      <c r="K32" s="51">
        <f ca="1">SUMIFS(OFFSET(Persistance!$K:$K,0,$A$2-Persistance!$K$1),Persistance!$B:$B,$A32,Persistance!$D:$D,K$5,Persistance!$A:$A,"Business")*1000</f>
        <v>0</v>
      </c>
      <c r="L32" s="34">
        <f ca="1">SUM(B32:K32)</f>
        <v>0</v>
      </c>
      <c r="M32" s="34"/>
      <c r="N32" s="34"/>
      <c r="O32" s="36"/>
      <c r="P32" s="36"/>
      <c r="Q32" s="36"/>
      <c r="R32" s="2"/>
      <c r="S32" s="2"/>
      <c r="T32" s="2"/>
      <c r="U32" s="2"/>
    </row>
    <row r="33" spans="1:21" x14ac:dyDescent="0.25">
      <c r="A33" s="23" t="s">
        <v>67</v>
      </c>
      <c r="B33" s="51">
        <f ca="1">SUMIFS(OFFSET(Persistance!$K:$K,0,$A$2-Persistance!$K$1),Persistance!$B:$B,$A33,Persistance!$D:$D,B$5,Persistance!$A:$A,"Business")*1000</f>
        <v>0</v>
      </c>
      <c r="C33" s="51">
        <f ca="1">SUMIFS(OFFSET(Persistance!$K:$K,0,$A$2-Persistance!$K$1),Persistance!$B:$B,$A33,Persistance!$D:$D,C$5,Persistance!$A:$A,"Business")*1000</f>
        <v>0</v>
      </c>
      <c r="D33" s="51">
        <f ca="1">SUMIFS(OFFSET(Persistance!$K:$K,0,$A$2-Persistance!$K$1),Persistance!$B:$B,$A33,Persistance!$D:$D,D$5,Persistance!$A:$A,"Business")*1000</f>
        <v>0</v>
      </c>
      <c r="E33" s="51">
        <f ca="1">SUMIFS(OFFSET(Persistance!$K:$K,0,$A$2-Persistance!$K$1),Persistance!$B:$B,$A33,Persistance!$D:$D,E$5,Persistance!$A:$A,"Business")*1000</f>
        <v>0</v>
      </c>
      <c r="F33" s="51">
        <f ca="1">SUMIFS(OFFSET(Persistance!$K:$K,0,$A$2-Persistance!$K$1),Persistance!$B:$B,$A33,Persistance!$D:$D,F$5,Persistance!$A:$A,"Business")*1000</f>
        <v>0</v>
      </c>
      <c r="G33" s="51">
        <f ca="1">SUMIFS(OFFSET(Persistance!$K:$K,0,$A$2-Persistance!$K$1),Persistance!$B:$B,$A33,Persistance!$D:$D,G$5,Persistance!$A:$A,"Business")*1000</f>
        <v>0</v>
      </c>
      <c r="H33" s="51">
        <f ca="1">SUMIFS(OFFSET(Persistance!$K:$K,0,$A$2-Persistance!$K$1),Persistance!$B:$B,$A33,Persistance!$D:$D,H$5,Persistance!$A:$A,"Business")*1000</f>
        <v>0</v>
      </c>
      <c r="I33" s="51">
        <f ca="1">SUMIFS(OFFSET(Persistance!$K:$K,0,$A$2-Persistance!$K$1),Persistance!$B:$B,$A33,Persistance!$D:$D,I$5,Persistance!$A:$A,"Business")*1000</f>
        <v>0</v>
      </c>
      <c r="J33" s="51">
        <f ca="1">SUMIFS(OFFSET(Persistance!$K:$K,0,$A$2-Persistance!$K$1),Persistance!$B:$B,$A33,Persistance!$D:$D,J$5,Persistance!$A:$A,"Business")*1000</f>
        <v>0</v>
      </c>
      <c r="K33" s="51">
        <f ca="1">SUMIFS(OFFSET(Persistance!$K:$K,0,$A$2-Persistance!$K$1),Persistance!$B:$B,$A33,Persistance!$D:$D,K$5,Persistance!$A:$A,"Business")*1000</f>
        <v>0</v>
      </c>
      <c r="L33" s="34">
        <f t="shared" ref="L33:L48" ca="1" si="4">SUM(B33:K33)</f>
        <v>0</v>
      </c>
      <c r="M33" s="34"/>
      <c r="N33" s="34"/>
      <c r="O33" s="36"/>
      <c r="P33" s="36"/>
      <c r="Q33" s="36"/>
      <c r="R33" s="2"/>
      <c r="S33" s="2"/>
      <c r="T33" s="2"/>
      <c r="U33" s="2"/>
    </row>
    <row r="34" spans="1:21" x14ac:dyDescent="0.25">
      <c r="A34" s="23" t="s">
        <v>66</v>
      </c>
      <c r="B34" s="51">
        <f ca="1">SUMIFS(OFFSET(Persistance!$K:$K,0,$A$2-Persistance!$K$1),Persistance!$B:$B,$A34,Persistance!$D:$D,B$5,Persistance!$A:$A,"Business")*1000</f>
        <v>0</v>
      </c>
      <c r="C34" s="51">
        <f ca="1">SUMIFS(OFFSET(Persistance!$K:$K,0,$A$2-Persistance!$K$1),Persistance!$B:$B,$A34,Persistance!$D:$D,C$5,Persistance!$A:$A,"Business")*1000</f>
        <v>0</v>
      </c>
      <c r="D34" s="51">
        <f ca="1">SUMIFS(OFFSET(Persistance!$K:$K,0,$A$2-Persistance!$K$1),Persistance!$B:$B,$A34,Persistance!$D:$D,D$5,Persistance!$A:$A,"Business")*1000</f>
        <v>0</v>
      </c>
      <c r="E34" s="51">
        <f ca="1">SUMIFS(OFFSET(Persistance!$K:$K,0,$A$2-Persistance!$K$1),Persistance!$B:$B,$A34,Persistance!$D:$D,E$5,Persistance!$A:$A,"Business")*1000</f>
        <v>0</v>
      </c>
      <c r="F34" s="51">
        <f ca="1">SUMIFS(OFFSET(Persistance!$K:$K,0,$A$2-Persistance!$K$1),Persistance!$B:$B,$A34,Persistance!$D:$D,F$5,Persistance!$A:$A,"Business")*1000</f>
        <v>0</v>
      </c>
      <c r="G34" s="51">
        <f ca="1">SUMIFS(OFFSET(Persistance!$K:$K,0,$A$2-Persistance!$K$1),Persistance!$B:$B,$A34,Persistance!$D:$D,G$5,Persistance!$A:$A,"Business")*1000</f>
        <v>0</v>
      </c>
      <c r="H34" s="51">
        <f ca="1">SUMIFS(OFFSET(Persistance!$K:$K,0,$A$2-Persistance!$K$1),Persistance!$B:$B,$A34,Persistance!$D:$D,H$5,Persistance!$A:$A,"Business")*1000</f>
        <v>0</v>
      </c>
      <c r="I34" s="51">
        <f ca="1">SUMIFS(OFFSET(Persistance!$K:$K,0,$A$2-Persistance!$K$1),Persistance!$B:$B,$A34,Persistance!$D:$D,I$5,Persistance!$A:$A,"Business")*1000</f>
        <v>0</v>
      </c>
      <c r="J34" s="51">
        <f ca="1">SUMIFS(OFFSET(Persistance!$K:$K,0,$A$2-Persistance!$K$1),Persistance!$B:$B,$A34,Persistance!$D:$D,J$5,Persistance!$A:$A,"Business")*1000</f>
        <v>0</v>
      </c>
      <c r="K34" s="51">
        <f ca="1">SUMIFS(OFFSET(Persistance!$K:$K,0,$A$2-Persistance!$K$1),Persistance!$B:$B,$A34,Persistance!$D:$D,K$5,Persistance!$A:$A,"Business")*1000</f>
        <v>0</v>
      </c>
      <c r="L34" s="34">
        <f t="shared" ca="1" si="4"/>
        <v>0</v>
      </c>
      <c r="M34" s="34"/>
      <c r="N34" s="34"/>
      <c r="O34" s="36"/>
      <c r="P34" s="36"/>
      <c r="Q34" s="36"/>
      <c r="R34" s="2"/>
      <c r="S34" s="2"/>
      <c r="T34" s="2"/>
      <c r="U34" s="2"/>
    </row>
    <row r="35" spans="1:21" x14ac:dyDescent="0.25">
      <c r="A35" s="23" t="s">
        <v>43</v>
      </c>
      <c r="B35" s="51">
        <f ca="1">SUMIFS(OFFSET(Persistance!$K:$K,0,$A$2-Persistance!$K$1),Persistance!$B:$B,$A35,Persistance!$D:$D,B$5,Persistance!$A:$A,"Business")*1000</f>
        <v>0</v>
      </c>
      <c r="C35" s="51">
        <f ca="1">SUMIFS(OFFSET(Persistance!$K:$K,0,$A$2-Persistance!$K$1),Persistance!$B:$B,$A35,Persistance!$D:$D,C$5,Persistance!$A:$A,"Business")*1000</f>
        <v>0</v>
      </c>
      <c r="D35" s="51">
        <f ca="1">SUMIFS(OFFSET(Persistance!$K:$K,0,$A$2-Persistance!$K$1),Persistance!$B:$B,$A35,Persistance!$D:$D,D$5,Persistance!$A:$A,"Business")*1000</f>
        <v>0</v>
      </c>
      <c r="E35" s="51">
        <f ca="1">SUMIFS(OFFSET(Persistance!$K:$K,0,$A$2-Persistance!$K$1),Persistance!$B:$B,$A35,Persistance!$D:$D,E$5,Persistance!$A:$A,"Business")*1000</f>
        <v>0</v>
      </c>
      <c r="F35" s="51">
        <f ca="1">SUMIFS(OFFSET(Persistance!$K:$K,0,$A$2-Persistance!$K$1),Persistance!$B:$B,$A35,Persistance!$D:$D,F$5,Persistance!$A:$A,"Business")*1000</f>
        <v>0</v>
      </c>
      <c r="G35" s="51">
        <f ca="1">SUMIFS(OFFSET(Persistance!$K:$K,0,$A$2-Persistance!$K$1),Persistance!$B:$B,$A35,Persistance!$D:$D,G$5,Persistance!$A:$A,"Business")*1000</f>
        <v>0</v>
      </c>
      <c r="H35" s="51">
        <f ca="1">SUMIFS(OFFSET(Persistance!$K:$K,0,$A$2-Persistance!$K$1),Persistance!$B:$B,$A35,Persistance!$D:$D,H$5,Persistance!$A:$A,"Business")*1000</f>
        <v>0</v>
      </c>
      <c r="I35" s="51">
        <f ca="1">SUMIFS(OFFSET(Persistance!$K:$K,0,$A$2-Persistance!$K$1),Persistance!$B:$B,$A35,Persistance!$D:$D,I$5,Persistance!$A:$A,"Business")*1000</f>
        <v>0</v>
      </c>
      <c r="J35" s="51">
        <f ca="1">SUMIFS(OFFSET(Persistance!$K:$K,0,$A$2-Persistance!$K$1),Persistance!$B:$B,$A35,Persistance!$D:$D,J$5,Persistance!$A:$A,"Business")*1000</f>
        <v>0</v>
      </c>
      <c r="K35" s="51">
        <f ca="1">SUMIFS(OFFSET(Persistance!$K:$K,0,$A$2-Persistance!$K$1),Persistance!$B:$B,$A35,Persistance!$D:$D,K$5,Persistance!$A:$A,"Business")*1000</f>
        <v>0</v>
      </c>
      <c r="L35" s="34">
        <f t="shared" ca="1" si="4"/>
        <v>0</v>
      </c>
      <c r="M35" s="34"/>
      <c r="N35" s="34"/>
      <c r="O35" s="36"/>
      <c r="P35" s="36"/>
      <c r="Q35" s="36"/>
      <c r="R35" s="2"/>
      <c r="S35" s="2"/>
      <c r="T35" s="2"/>
      <c r="U35" s="2"/>
    </row>
    <row r="36" spans="1:21" x14ac:dyDescent="0.25">
      <c r="A36" s="23" t="s">
        <v>7</v>
      </c>
      <c r="B36" s="51">
        <f ca="1">SUMIFS(OFFSET(Persistance!$K:$K,0,$A$2-Persistance!$K$1),Persistance!$B:$B,$A36,Persistance!$D:$D,B$5,Persistance!$A:$A,"Business")*1000</f>
        <v>121356.32838291893</v>
      </c>
      <c r="C36" s="51">
        <f ca="1">SUMIFS(OFFSET(Persistance!$K:$K,0,$A$2-Persistance!$K$1),Persistance!$B:$B,$A36,Persistance!$D:$D,C$5,Persistance!$A:$A,"Business")*1000</f>
        <v>315820.16315418592</v>
      </c>
      <c r="D36" s="51">
        <f ca="1">SUMIFS(OFFSET(Persistance!$K:$K,0,$A$2-Persistance!$K$1),Persistance!$B:$B,$A36,Persistance!$D:$D,D$5,Persistance!$A:$A,"Business")*1000</f>
        <v>0</v>
      </c>
      <c r="E36" s="51">
        <f ca="1">SUMIFS(OFFSET(Persistance!$K:$K,0,$A$2-Persistance!$K$1),Persistance!$B:$B,$A36,Persistance!$D:$D,E$5,Persistance!$A:$A,"Business")*1000</f>
        <v>0</v>
      </c>
      <c r="F36" s="51">
        <f ca="1">SUMIFS(OFFSET(Persistance!$K:$K,0,$A$2-Persistance!$K$1),Persistance!$B:$B,$A36,Persistance!$D:$D,F$5,Persistance!$A:$A,"Business")*1000</f>
        <v>0</v>
      </c>
      <c r="G36" s="51">
        <f ca="1">SUMIFS(OFFSET(Persistance!$K:$K,0,$A$2-Persistance!$K$1),Persistance!$B:$B,$A36,Persistance!$D:$D,G$5,Persistance!$A:$A,"Business")*1000</f>
        <v>0</v>
      </c>
      <c r="H36" s="51">
        <f ca="1">SUMIFS(OFFSET(Persistance!$K:$K,0,$A$2-Persistance!$K$1),Persistance!$B:$B,$A36,Persistance!$D:$D,H$5,Persistance!$A:$A,"Business")*1000</f>
        <v>0</v>
      </c>
      <c r="I36" s="51">
        <f ca="1">SUMIFS(OFFSET(Persistance!$K:$K,0,$A$2-Persistance!$K$1),Persistance!$B:$B,$A36,Persistance!$D:$D,I$5,Persistance!$A:$A,"Business")*1000</f>
        <v>0</v>
      </c>
      <c r="J36" s="51">
        <f ca="1">SUMIFS(OFFSET(Persistance!$K:$K,0,$A$2-Persistance!$K$1),Persistance!$B:$B,$A36,Persistance!$D:$D,J$5,Persistance!$A:$A,"Business")*1000</f>
        <v>0</v>
      </c>
      <c r="K36" s="51">
        <f ca="1">SUMIFS(OFFSET(Persistance!$K:$K,0,$A$2-Persistance!$K$1),Persistance!$B:$B,$A36,Persistance!$D:$D,K$5,Persistance!$A:$A,"Business")*1000</f>
        <v>0</v>
      </c>
      <c r="L36" s="34">
        <f t="shared" ca="1" si="4"/>
        <v>437176.49153710483</v>
      </c>
      <c r="M36" s="34"/>
      <c r="N36" s="34"/>
      <c r="O36" s="36"/>
      <c r="P36" s="36"/>
      <c r="Q36" s="36"/>
      <c r="R36" s="2"/>
      <c r="S36" s="2"/>
      <c r="T36" s="2"/>
      <c r="U36" s="2"/>
    </row>
    <row r="37" spans="1:21" x14ac:dyDescent="0.25">
      <c r="A37" s="23" t="s">
        <v>57</v>
      </c>
      <c r="B37" s="51">
        <f ca="1">SUMIFS(OFFSET(Persistance!$K:$K,0,$A$2-Persistance!$K$1),Persistance!$B:$B,$A37,Persistance!$D:$D,B$5,Persistance!$A:$A,"Business")*1000</f>
        <v>0</v>
      </c>
      <c r="C37" s="51">
        <f ca="1">SUMIFS(OFFSET(Persistance!$K:$K,0,$A$2-Persistance!$K$1),Persistance!$B:$B,$A37,Persistance!$D:$D,C$5,Persistance!$A:$A,"Business")*1000</f>
        <v>0</v>
      </c>
      <c r="D37" s="51">
        <f ca="1">SUMIFS(OFFSET(Persistance!$K:$K,0,$A$2-Persistance!$K$1),Persistance!$B:$B,$A37,Persistance!$D:$D,D$5,Persistance!$A:$A,"Business")*1000</f>
        <v>0</v>
      </c>
      <c r="E37" s="51">
        <f ca="1">SUMIFS(OFFSET(Persistance!$K:$K,0,$A$2-Persistance!$K$1),Persistance!$B:$B,$A37,Persistance!$D:$D,E$5,Persistance!$A:$A,"Business")*1000</f>
        <v>0</v>
      </c>
      <c r="F37" s="51">
        <f ca="1">SUMIFS(OFFSET(Persistance!$K:$K,0,$A$2-Persistance!$K$1),Persistance!$B:$B,$A37,Persistance!$D:$D,F$5,Persistance!$A:$A,"Business")*1000</f>
        <v>0</v>
      </c>
      <c r="G37" s="51">
        <f ca="1">SUMIFS(OFFSET(Persistance!$K:$K,0,$A$2-Persistance!$K$1),Persistance!$B:$B,$A37,Persistance!$D:$D,G$5,Persistance!$A:$A,"Business")*1000</f>
        <v>0</v>
      </c>
      <c r="H37" s="51">
        <f ca="1">SUMIFS(OFFSET(Persistance!$K:$K,0,$A$2-Persistance!$K$1),Persistance!$B:$B,$A37,Persistance!$D:$D,H$5,Persistance!$A:$A,"Business")*1000</f>
        <v>0</v>
      </c>
      <c r="I37" s="51">
        <f ca="1">SUMIFS(OFFSET(Persistance!$K:$K,0,$A$2-Persistance!$K$1),Persistance!$B:$B,$A37,Persistance!$D:$D,I$5,Persistance!$A:$A,"Business")*1000</f>
        <v>0</v>
      </c>
      <c r="J37" s="51">
        <f ca="1">SUMIFS(OFFSET(Persistance!$K:$K,0,$A$2-Persistance!$K$1),Persistance!$B:$B,$A37,Persistance!$D:$D,J$5,Persistance!$A:$A,"Business")*1000</f>
        <v>0</v>
      </c>
      <c r="K37" s="51">
        <f ca="1">SUMIFS(OFFSET(Persistance!$K:$K,0,$A$2-Persistance!$K$1),Persistance!$B:$B,$A37,Persistance!$D:$D,K$5,Persistance!$A:$A,"Business")*1000</f>
        <v>0</v>
      </c>
      <c r="L37" s="34">
        <f t="shared" ca="1" si="4"/>
        <v>0</v>
      </c>
      <c r="M37" s="34"/>
      <c r="N37" s="34"/>
      <c r="O37" s="36"/>
      <c r="P37" s="36"/>
      <c r="Q37" s="36"/>
      <c r="R37" s="2"/>
      <c r="S37" s="2"/>
      <c r="T37" s="2"/>
      <c r="U37" s="2"/>
    </row>
    <row r="38" spans="1:21" x14ac:dyDescent="0.25">
      <c r="A38" s="23" t="s">
        <v>70</v>
      </c>
      <c r="B38" s="51">
        <f ca="1">SUMIFS(OFFSET(Persistance!$K:$K,0,$A$2-Persistance!$K$1),Persistance!$B:$B,$A38,Persistance!$D:$D,B$5,Persistance!$A:$A,"Business")*1000</f>
        <v>0</v>
      </c>
      <c r="C38" s="51">
        <f ca="1">SUMIFS(OFFSET(Persistance!$K:$K,0,$A$2-Persistance!$K$1),Persistance!$B:$B,$A38,Persistance!$D:$D,C$5,Persistance!$A:$A,"Business")*1000</f>
        <v>78945.002438389231</v>
      </c>
      <c r="D38" s="51">
        <f ca="1">SUMIFS(OFFSET(Persistance!$K:$K,0,$A$2-Persistance!$K$1),Persistance!$B:$B,$A38,Persistance!$D:$D,D$5,Persistance!$A:$A,"Business")*1000</f>
        <v>64.270189810000005</v>
      </c>
      <c r="E38" s="51">
        <f ca="1">SUMIFS(OFFSET(Persistance!$K:$K,0,$A$2-Persistance!$K$1),Persistance!$B:$B,$A38,Persistance!$D:$D,E$5,Persistance!$A:$A,"Business")*1000</f>
        <v>0</v>
      </c>
      <c r="F38" s="51">
        <f ca="1">SUMIFS(OFFSET(Persistance!$K:$K,0,$A$2-Persistance!$K$1),Persistance!$B:$B,$A38,Persistance!$D:$D,F$5,Persistance!$A:$A,"Business")*1000</f>
        <v>0</v>
      </c>
      <c r="G38" s="51">
        <f ca="1">SUMIFS(OFFSET(Persistance!$K:$K,0,$A$2-Persistance!$K$1),Persistance!$B:$B,$A38,Persistance!$D:$D,G$5,Persistance!$A:$A,"Business")*1000</f>
        <v>0</v>
      </c>
      <c r="H38" s="51">
        <f ca="1">SUMIFS(OFFSET(Persistance!$K:$K,0,$A$2-Persistance!$K$1),Persistance!$B:$B,$A38,Persistance!$D:$D,H$5,Persistance!$A:$A,"Business")*1000</f>
        <v>0</v>
      </c>
      <c r="I38" s="51">
        <f ca="1">SUMIFS(OFFSET(Persistance!$K:$K,0,$A$2-Persistance!$K$1),Persistance!$B:$B,$A38,Persistance!$D:$D,I$5,Persistance!$A:$A,"Business")*1000</f>
        <v>0</v>
      </c>
      <c r="J38" s="51">
        <f ca="1">SUMIFS(OFFSET(Persistance!$K:$K,0,$A$2-Persistance!$K$1),Persistance!$B:$B,$A38,Persistance!$D:$D,J$5,Persistance!$A:$A,"Business")*1000</f>
        <v>0</v>
      </c>
      <c r="K38" s="51">
        <f ca="1">SUMIFS(OFFSET(Persistance!$K:$K,0,$A$2-Persistance!$K$1),Persistance!$B:$B,$A38,Persistance!$D:$D,K$5,Persistance!$A:$A,"Business")*1000</f>
        <v>0</v>
      </c>
      <c r="L38" s="34">
        <f t="shared" ca="1" si="4"/>
        <v>79009.272628199236</v>
      </c>
      <c r="M38" s="34"/>
      <c r="N38" s="34"/>
      <c r="O38" s="36"/>
      <c r="P38" s="36"/>
      <c r="Q38" s="36"/>
      <c r="R38" s="2"/>
      <c r="S38" s="2"/>
      <c r="T38" s="2"/>
      <c r="U38" s="2"/>
    </row>
    <row r="39" spans="1:21" x14ac:dyDescent="0.25">
      <c r="A39" s="23" t="s">
        <v>96</v>
      </c>
      <c r="B39" s="51">
        <f ca="1">SUMIFS(OFFSET(Persistance!$K:$K,0,$A$2-Persistance!$K$1),Persistance!$B:$B,$A39,Persistance!$D:$D,B$5,Persistance!$A:$A,"Business")*1000</f>
        <v>0</v>
      </c>
      <c r="C39" s="51">
        <f ca="1">SUMIFS(OFFSET(Persistance!$K:$K,0,$A$2-Persistance!$K$1),Persistance!$B:$B,$A39,Persistance!$D:$D,C$5,Persistance!$A:$A,"Business")*1000</f>
        <v>25176.254462563</v>
      </c>
      <c r="D39" s="51">
        <f ca="1">SUMIFS(OFFSET(Persistance!$K:$K,0,$A$2-Persistance!$K$1),Persistance!$B:$B,$A39,Persistance!$D:$D,D$5,Persistance!$A:$A,"Business")*1000</f>
        <v>96901.535593948996</v>
      </c>
      <c r="E39" s="51">
        <f ca="1">SUMIFS(OFFSET(Persistance!$K:$K,0,$A$2-Persistance!$K$1),Persistance!$B:$B,$A39,Persistance!$D:$D,E$5,Persistance!$A:$A,"Business")*1000</f>
        <v>0</v>
      </c>
      <c r="F39" s="51">
        <f ca="1">SUMIFS(OFFSET(Persistance!$K:$K,0,$A$2-Persistance!$K$1),Persistance!$B:$B,$A39,Persistance!$D:$D,F$5,Persistance!$A:$A,"Business")*1000</f>
        <v>0</v>
      </c>
      <c r="G39" s="51">
        <f ca="1">SUMIFS(OFFSET(Persistance!$K:$K,0,$A$2-Persistance!$K$1),Persistance!$B:$B,$A39,Persistance!$D:$D,G$5,Persistance!$A:$A,"Business")*1000</f>
        <v>0</v>
      </c>
      <c r="H39" s="51">
        <f ca="1">SUMIFS(OFFSET(Persistance!$K:$K,0,$A$2-Persistance!$K$1),Persistance!$B:$B,$A39,Persistance!$D:$D,H$5,Persistance!$A:$A,"Business")*1000</f>
        <v>0</v>
      </c>
      <c r="I39" s="51">
        <f ca="1">SUMIFS(OFFSET(Persistance!$K:$K,0,$A$2-Persistance!$K$1),Persistance!$B:$B,$A39,Persistance!$D:$D,I$5,Persistance!$A:$A,"Business")*1000</f>
        <v>0</v>
      </c>
      <c r="J39" s="51">
        <f ca="1">SUMIFS(OFFSET(Persistance!$K:$K,0,$A$2-Persistance!$K$1),Persistance!$B:$B,$A39,Persistance!$D:$D,J$5,Persistance!$A:$A,"Business")*1000</f>
        <v>0</v>
      </c>
      <c r="K39" s="51">
        <f ca="1">SUMIFS(OFFSET(Persistance!$K:$K,0,$A$2-Persistance!$K$1),Persistance!$B:$B,$A39,Persistance!$D:$D,K$5,Persistance!$A:$A,"Business")*1000</f>
        <v>0</v>
      </c>
      <c r="L39" s="34">
        <f t="shared" ca="1" si="4"/>
        <v>122077.79005651199</v>
      </c>
      <c r="M39" s="34"/>
      <c r="N39" s="34"/>
      <c r="O39" s="36"/>
      <c r="P39" s="36"/>
      <c r="Q39" s="36"/>
      <c r="R39" s="2"/>
      <c r="S39" s="2"/>
      <c r="T39" s="2"/>
      <c r="U39" s="2"/>
    </row>
    <row r="40" spans="1:21" x14ac:dyDescent="0.25">
      <c r="A40" s="23" t="s">
        <v>56</v>
      </c>
      <c r="B40" s="51">
        <f ca="1">SUMIFS(OFFSET(Persistance!$K:$K,0,$A$2-Persistance!$K$1),Persistance!$B:$B,$A40,Persistance!$D:$D,B$5,Persistance!$A:$A,"Business")*1000</f>
        <v>0</v>
      </c>
      <c r="C40" s="51">
        <f ca="1">SUMIFS(OFFSET(Persistance!$K:$K,0,$A$2-Persistance!$K$1),Persistance!$B:$B,$A40,Persistance!$D:$D,C$5,Persistance!$A:$A,"Business")*1000</f>
        <v>0</v>
      </c>
      <c r="D40" s="51">
        <f ca="1">SUMIFS(OFFSET(Persistance!$K:$K,0,$A$2-Persistance!$K$1),Persistance!$B:$B,$A40,Persistance!$D:$D,D$5,Persistance!$A:$A,"Business")*1000</f>
        <v>0</v>
      </c>
      <c r="E40" s="51">
        <f ca="1">SUMIFS(OFFSET(Persistance!$K:$K,0,$A$2-Persistance!$K$1),Persistance!$B:$B,$A40,Persistance!$D:$D,E$5,Persistance!$A:$A,"Business")*1000</f>
        <v>0</v>
      </c>
      <c r="F40" s="51">
        <f ca="1">SUMIFS(OFFSET(Persistance!$K:$K,0,$A$2-Persistance!$K$1),Persistance!$B:$B,$A40,Persistance!$D:$D,F$5,Persistance!$A:$A,"Business")*1000</f>
        <v>0</v>
      </c>
      <c r="G40" s="51">
        <f ca="1">SUMIFS(OFFSET(Persistance!$K:$K,0,$A$2-Persistance!$K$1),Persistance!$B:$B,$A40,Persistance!$D:$D,G$5,Persistance!$A:$A,"Business")*1000</f>
        <v>0</v>
      </c>
      <c r="H40" s="51">
        <f ca="1">SUMIFS(OFFSET(Persistance!$K:$K,0,$A$2-Persistance!$K$1),Persistance!$B:$B,$A40,Persistance!$D:$D,H$5,Persistance!$A:$A,"Business")*1000</f>
        <v>0</v>
      </c>
      <c r="I40" s="51">
        <f ca="1">SUMIFS(OFFSET(Persistance!$K:$K,0,$A$2-Persistance!$K$1),Persistance!$B:$B,$A40,Persistance!$D:$D,I$5,Persistance!$A:$A,"Business")*1000</f>
        <v>0</v>
      </c>
      <c r="J40" s="51">
        <f ca="1">SUMIFS(OFFSET(Persistance!$K:$K,0,$A$2-Persistance!$K$1),Persistance!$B:$B,$A40,Persistance!$D:$D,J$5,Persistance!$A:$A,"Business")*1000</f>
        <v>0</v>
      </c>
      <c r="K40" s="51">
        <f ca="1">SUMIFS(OFFSET(Persistance!$K:$K,0,$A$2-Persistance!$K$1),Persistance!$B:$B,$A40,Persistance!$D:$D,K$5,Persistance!$A:$A,"Business")*1000</f>
        <v>0</v>
      </c>
      <c r="L40" s="34">
        <f t="shared" ca="1" si="4"/>
        <v>0</v>
      </c>
      <c r="M40" s="34"/>
      <c r="N40" s="34"/>
      <c r="O40" s="36"/>
      <c r="P40" s="36"/>
      <c r="Q40" s="36"/>
      <c r="R40" s="2"/>
      <c r="S40" s="2"/>
      <c r="T40" s="2"/>
      <c r="U40" s="2"/>
    </row>
    <row r="41" spans="1:21" x14ac:dyDescent="0.25">
      <c r="A41" s="23" t="s">
        <v>8</v>
      </c>
      <c r="B41" s="51">
        <f ca="1">SUMIFS(OFFSET(Persistance!$K:$K,0,$A$2-Persistance!$K$1),Persistance!$B:$B,$A41,Persistance!$D:$D,B$5,Persistance!$A:$A,"Business")*1000</f>
        <v>0</v>
      </c>
      <c r="C41" s="51">
        <f ca="1">SUMIFS(OFFSET(Persistance!$K:$K,0,$A$2-Persistance!$K$1),Persistance!$B:$B,$A41,Persistance!$D:$D,C$5,Persistance!$A:$A,"Business")*1000</f>
        <v>0</v>
      </c>
      <c r="D41" s="51">
        <f ca="1">SUMIFS(OFFSET(Persistance!$K:$K,0,$A$2-Persistance!$K$1),Persistance!$B:$B,$A41,Persistance!$D:$D,D$5,Persistance!$A:$A,"Business")*1000</f>
        <v>0</v>
      </c>
      <c r="E41" s="51">
        <f ca="1">SUMIFS(OFFSET(Persistance!$K:$K,0,$A$2-Persistance!$K$1),Persistance!$B:$B,$A41,Persistance!$D:$D,E$5,Persistance!$A:$A,"Business")*1000</f>
        <v>0</v>
      </c>
      <c r="F41" s="51">
        <f ca="1">SUMIFS(OFFSET(Persistance!$K:$K,0,$A$2-Persistance!$K$1),Persistance!$B:$B,$A41,Persistance!$D:$D,F$5,Persistance!$A:$A,"Business")*1000</f>
        <v>0</v>
      </c>
      <c r="G41" s="51">
        <f ca="1">SUMIFS(OFFSET(Persistance!$K:$K,0,$A$2-Persistance!$K$1),Persistance!$B:$B,$A41,Persistance!$D:$D,G$5,Persistance!$A:$A,"Business")*1000</f>
        <v>0</v>
      </c>
      <c r="H41" s="51">
        <f ca="1">SUMIFS(OFFSET(Persistance!$K:$K,0,$A$2-Persistance!$K$1),Persistance!$B:$B,$A41,Persistance!$D:$D,H$5,Persistance!$A:$A,"Business")*1000</f>
        <v>0</v>
      </c>
      <c r="I41" s="51">
        <f ca="1">SUMIFS(OFFSET(Persistance!$K:$K,0,$A$2-Persistance!$K$1),Persistance!$B:$B,$A41,Persistance!$D:$D,I$5,Persistance!$A:$A,"Business")*1000</f>
        <v>0</v>
      </c>
      <c r="J41" s="51">
        <f ca="1">SUMIFS(OFFSET(Persistance!$K:$K,0,$A$2-Persistance!$K$1),Persistance!$B:$B,$A41,Persistance!$D:$D,J$5,Persistance!$A:$A,"Business")*1000</f>
        <v>0</v>
      </c>
      <c r="K41" s="51">
        <f ca="1">SUMIFS(OFFSET(Persistance!$K:$K,0,$A$2-Persistance!$K$1),Persistance!$B:$B,$A41,Persistance!$D:$D,K$5,Persistance!$A:$A,"Business")*1000</f>
        <v>0</v>
      </c>
      <c r="L41" s="34">
        <f t="shared" ca="1" si="4"/>
        <v>0</v>
      </c>
      <c r="M41" s="34"/>
      <c r="N41" s="34"/>
      <c r="O41" s="36"/>
      <c r="P41" s="36"/>
      <c r="Q41" s="36"/>
      <c r="R41" s="2"/>
      <c r="S41" s="2"/>
      <c r="T41" s="2"/>
      <c r="U41" s="2"/>
    </row>
    <row r="42" spans="1:21" x14ac:dyDescent="0.25">
      <c r="A42" s="23" t="s">
        <v>58</v>
      </c>
      <c r="B42" s="51">
        <f ca="1">SUMIFS(OFFSET(Persistance!$K:$K,0,$A$2-Persistance!$K$1),Persistance!$B:$B,$A42,Persistance!$D:$D,B$5,Persistance!$A:$A,"Business")*1000</f>
        <v>0</v>
      </c>
      <c r="C42" s="51">
        <f ca="1">SUMIFS(OFFSET(Persistance!$K:$K,0,$A$2-Persistance!$K$1),Persistance!$B:$B,$A42,Persistance!$D:$D,C$5,Persistance!$A:$A,"Business")*1000</f>
        <v>0</v>
      </c>
      <c r="D42" s="51">
        <f ca="1">SUMIFS(OFFSET(Persistance!$K:$K,0,$A$2-Persistance!$K$1),Persistance!$B:$B,$A42,Persistance!$D:$D,D$5,Persistance!$A:$A,"Business")*1000</f>
        <v>0</v>
      </c>
      <c r="E42" s="51">
        <f ca="1">SUMIFS(OFFSET(Persistance!$K:$K,0,$A$2-Persistance!$K$1),Persistance!$B:$B,$A42,Persistance!$D:$D,E$5,Persistance!$A:$A,"Business")*1000</f>
        <v>0</v>
      </c>
      <c r="F42" s="51">
        <f ca="1">SUMIFS(OFFSET(Persistance!$K:$K,0,$A$2-Persistance!$K$1),Persistance!$B:$B,$A42,Persistance!$D:$D,F$5,Persistance!$A:$A,"Business")*1000</f>
        <v>0</v>
      </c>
      <c r="G42" s="51">
        <f ca="1">SUMIFS(OFFSET(Persistance!$K:$K,0,$A$2-Persistance!$K$1),Persistance!$B:$B,$A42,Persistance!$D:$D,G$5,Persistance!$A:$A,"Business")*1000</f>
        <v>0</v>
      </c>
      <c r="H42" s="51">
        <f ca="1">SUMIFS(OFFSET(Persistance!$K:$K,0,$A$2-Persistance!$K$1),Persistance!$B:$B,$A42,Persistance!$D:$D,H$5,Persistance!$A:$A,"Business")*1000</f>
        <v>0</v>
      </c>
      <c r="I42" s="51">
        <f ca="1">SUMIFS(OFFSET(Persistance!$K:$K,0,$A$2-Persistance!$K$1),Persistance!$B:$B,$A42,Persistance!$D:$D,I$5,Persistance!$A:$A,"Business")*1000</f>
        <v>0</v>
      </c>
      <c r="J42" s="51">
        <f ca="1">SUMIFS(OFFSET(Persistance!$K:$K,0,$A$2-Persistance!$K$1),Persistance!$B:$B,$A42,Persistance!$D:$D,J$5,Persistance!$A:$A,"Business")*1000</f>
        <v>0</v>
      </c>
      <c r="K42" s="51">
        <f ca="1">SUMIFS(OFFSET(Persistance!$K:$K,0,$A$2-Persistance!$K$1),Persistance!$B:$B,$A42,Persistance!$D:$D,K$5,Persistance!$A:$A,"Business")*1000</f>
        <v>0</v>
      </c>
      <c r="L42" s="34">
        <f t="shared" ca="1" si="4"/>
        <v>0</v>
      </c>
      <c r="M42" s="34"/>
      <c r="N42" s="34"/>
      <c r="O42" s="36"/>
      <c r="P42" s="36"/>
      <c r="Q42" s="36"/>
      <c r="R42" s="2"/>
      <c r="S42" s="2"/>
      <c r="T42" s="2"/>
      <c r="U42" s="2"/>
    </row>
    <row r="43" spans="1:21" x14ac:dyDescent="0.25">
      <c r="A43" s="23" t="s">
        <v>71</v>
      </c>
      <c r="B43" s="51">
        <f ca="1">SUMIFS(OFFSET(Persistance!$K:$K,0,$A$2-Persistance!$K$1),Persistance!$B:$B,$A43,Persistance!$D:$D,B$5,Persistance!$A:$A,"Business")*1000</f>
        <v>0</v>
      </c>
      <c r="C43" s="51">
        <f ca="1">SUMIFS(OFFSET(Persistance!$K:$K,0,$A$2-Persistance!$K$1),Persistance!$B:$B,$A43,Persistance!$D:$D,C$5,Persistance!$A:$A,"Business")*1000</f>
        <v>0</v>
      </c>
      <c r="D43" s="51">
        <f ca="1">SUMIFS(OFFSET(Persistance!$K:$K,0,$A$2-Persistance!$K$1),Persistance!$B:$B,$A43,Persistance!$D:$D,D$5,Persistance!$A:$A,"Business")*1000</f>
        <v>0</v>
      </c>
      <c r="E43" s="51">
        <f ca="1">SUMIFS(OFFSET(Persistance!$K:$K,0,$A$2-Persistance!$K$1),Persistance!$B:$B,$A43,Persistance!$D:$D,E$5,Persistance!$A:$A,"Business")*1000</f>
        <v>0</v>
      </c>
      <c r="F43" s="51">
        <f ca="1">SUMIFS(OFFSET(Persistance!$K:$K,0,$A$2-Persistance!$K$1),Persistance!$B:$B,$A43,Persistance!$D:$D,F$5,Persistance!$A:$A,"Business")*1000</f>
        <v>0</v>
      </c>
      <c r="G43" s="51">
        <f ca="1">SUMIFS(OFFSET(Persistance!$K:$K,0,$A$2-Persistance!$K$1),Persistance!$B:$B,$A43,Persistance!$D:$D,G$5,Persistance!$A:$A,"Business")*1000</f>
        <v>0</v>
      </c>
      <c r="H43" s="51">
        <f ca="1">SUMIFS(OFFSET(Persistance!$K:$K,0,$A$2-Persistance!$K$1),Persistance!$B:$B,$A43,Persistance!$D:$D,H$5,Persistance!$A:$A,"Business")*1000</f>
        <v>0</v>
      </c>
      <c r="I43" s="51">
        <f ca="1">SUMIFS(OFFSET(Persistance!$K:$K,0,$A$2-Persistance!$K$1),Persistance!$B:$B,$A43,Persistance!$D:$D,I$5,Persistance!$A:$A,"Business")*1000</f>
        <v>0</v>
      </c>
      <c r="J43" s="51">
        <f ca="1">SUMIFS(OFFSET(Persistance!$K:$K,0,$A$2-Persistance!$K$1),Persistance!$B:$B,$A43,Persistance!$D:$D,J$5,Persistance!$A:$A,"Business")*1000</f>
        <v>0</v>
      </c>
      <c r="K43" s="51">
        <f ca="1">SUMIFS(OFFSET(Persistance!$K:$K,0,$A$2-Persistance!$K$1),Persistance!$B:$B,$A43,Persistance!$D:$D,K$5,Persistance!$A:$A,"Business")*1000</f>
        <v>0</v>
      </c>
      <c r="L43" s="34">
        <f t="shared" ca="1" si="4"/>
        <v>0</v>
      </c>
      <c r="M43" s="34"/>
      <c r="N43" s="34"/>
      <c r="O43" s="36"/>
      <c r="P43" s="36"/>
      <c r="Q43" s="36"/>
      <c r="R43" s="2"/>
      <c r="S43" s="2"/>
      <c r="T43" s="2"/>
      <c r="U43" s="2"/>
    </row>
    <row r="44" spans="1:21" x14ac:dyDescent="0.25">
      <c r="A44" s="23" t="s">
        <v>72</v>
      </c>
      <c r="B44" s="51">
        <f ca="1">SUMIFS(OFFSET(Persistance!$K:$K,0,$A$2-Persistance!$K$1),Persistance!$B:$B,$A44,Persistance!$D:$D,B$5,Persistance!$A:$A,"Business")*1000</f>
        <v>0</v>
      </c>
      <c r="C44" s="51">
        <f ca="1">SUMIFS(OFFSET(Persistance!$K:$K,0,$A$2-Persistance!$K$1),Persistance!$B:$B,$A44,Persistance!$D:$D,C$5,Persistance!$A:$A,"Business")*1000</f>
        <v>0</v>
      </c>
      <c r="D44" s="51">
        <f ca="1">SUMIFS(OFFSET(Persistance!$K:$K,0,$A$2-Persistance!$K$1),Persistance!$B:$B,$A44,Persistance!$D:$D,D$5,Persistance!$A:$A,"Business")*1000</f>
        <v>0</v>
      </c>
      <c r="E44" s="51">
        <f ca="1">SUMIFS(OFFSET(Persistance!$K:$K,0,$A$2-Persistance!$K$1),Persistance!$B:$B,$A44,Persistance!$D:$D,E$5,Persistance!$A:$A,"Business")*1000</f>
        <v>0</v>
      </c>
      <c r="F44" s="51">
        <f ca="1">SUMIFS(OFFSET(Persistance!$K:$K,0,$A$2-Persistance!$K$1),Persistance!$B:$B,$A44,Persistance!$D:$D,F$5,Persistance!$A:$A,"Business")*1000</f>
        <v>0</v>
      </c>
      <c r="G44" s="51">
        <f ca="1">SUMIFS(OFFSET(Persistance!$K:$K,0,$A$2-Persistance!$K$1),Persistance!$B:$B,$A44,Persistance!$D:$D,G$5,Persistance!$A:$A,"Business")*1000</f>
        <v>0</v>
      </c>
      <c r="H44" s="51">
        <f ca="1">SUMIFS(OFFSET(Persistance!$K:$K,0,$A$2-Persistance!$K$1),Persistance!$B:$B,$A44,Persistance!$D:$D,H$5,Persistance!$A:$A,"Business")*1000</f>
        <v>0</v>
      </c>
      <c r="I44" s="51">
        <f ca="1">SUMIFS(OFFSET(Persistance!$K:$K,0,$A$2-Persistance!$K$1),Persistance!$B:$B,$A44,Persistance!$D:$D,I$5,Persistance!$A:$A,"Business")*1000</f>
        <v>0</v>
      </c>
      <c r="J44" s="51">
        <f ca="1">SUMIFS(OFFSET(Persistance!$K:$K,0,$A$2-Persistance!$K$1),Persistance!$B:$B,$A44,Persistance!$D:$D,J$5,Persistance!$A:$A,"Business")*1000</f>
        <v>0</v>
      </c>
      <c r="K44" s="51">
        <f ca="1">SUMIFS(OFFSET(Persistance!$K:$K,0,$A$2-Persistance!$K$1),Persistance!$B:$B,$A44,Persistance!$D:$D,K$5,Persistance!$A:$A,"Business")*1000</f>
        <v>0</v>
      </c>
      <c r="L44" s="34">
        <f t="shared" ca="1" si="4"/>
        <v>0</v>
      </c>
      <c r="M44" s="34"/>
      <c r="N44" s="34"/>
      <c r="O44" s="36"/>
      <c r="P44" s="36"/>
      <c r="Q44" s="36"/>
      <c r="R44" s="2"/>
      <c r="S44" s="2"/>
      <c r="T44" s="2"/>
      <c r="U44" s="2"/>
    </row>
    <row r="45" spans="1:21" x14ac:dyDescent="0.25">
      <c r="A45" s="23" t="s">
        <v>69</v>
      </c>
      <c r="B45" s="51">
        <f ca="1">SUMIFS(OFFSET(Persistance!$K:$K,0,$A$2-Persistance!$K$1),Persistance!$B:$B,$A45,Persistance!$D:$D,B$5,Persistance!$A:$A,"Business")*1000</f>
        <v>0</v>
      </c>
      <c r="C45" s="51">
        <f ca="1">SUMIFS(OFFSET(Persistance!$K:$K,0,$A$2-Persistance!$K$1),Persistance!$B:$B,$A45,Persistance!$D:$D,C$5,Persistance!$A:$A,"Business")*1000</f>
        <v>0</v>
      </c>
      <c r="D45" s="51">
        <f ca="1">SUMIFS(OFFSET(Persistance!$K:$K,0,$A$2-Persistance!$K$1),Persistance!$B:$B,$A45,Persistance!$D:$D,D$5,Persistance!$A:$A,"Business")*1000</f>
        <v>0</v>
      </c>
      <c r="E45" s="51">
        <f ca="1">SUMIFS(OFFSET(Persistance!$K:$K,0,$A$2-Persistance!$K$1),Persistance!$B:$B,$A45,Persistance!$D:$D,E$5,Persistance!$A:$A,"Business")*1000</f>
        <v>0</v>
      </c>
      <c r="F45" s="51">
        <f ca="1">SUMIFS(OFFSET(Persistance!$K:$K,0,$A$2-Persistance!$K$1),Persistance!$B:$B,$A45,Persistance!$D:$D,F$5,Persistance!$A:$A,"Business")*1000</f>
        <v>0</v>
      </c>
      <c r="G45" s="51">
        <f ca="1">SUMIFS(OFFSET(Persistance!$K:$K,0,$A$2-Persistance!$K$1),Persistance!$B:$B,$A45,Persistance!$D:$D,G$5,Persistance!$A:$A,"Business")*1000</f>
        <v>0</v>
      </c>
      <c r="H45" s="51">
        <f ca="1">SUMIFS(OFFSET(Persistance!$K:$K,0,$A$2-Persistance!$K$1),Persistance!$B:$B,$A45,Persistance!$D:$D,H$5,Persistance!$A:$A,"Business")*1000</f>
        <v>0</v>
      </c>
      <c r="I45" s="51">
        <f ca="1">SUMIFS(OFFSET(Persistance!$K:$K,0,$A$2-Persistance!$K$1),Persistance!$B:$B,$A45,Persistance!$D:$D,I$5,Persistance!$A:$A,"Business")*1000</f>
        <v>0</v>
      </c>
      <c r="J45" s="51">
        <f ca="1">SUMIFS(OFFSET(Persistance!$K:$K,0,$A$2-Persistance!$K$1),Persistance!$B:$B,$A45,Persistance!$D:$D,J$5,Persistance!$A:$A,"Business")*1000</f>
        <v>0</v>
      </c>
      <c r="K45" s="51">
        <f ca="1">SUMIFS(OFFSET(Persistance!$K:$K,0,$A$2-Persistance!$K$1),Persistance!$B:$B,$A45,Persistance!$D:$D,K$5,Persistance!$A:$A,"Business")*1000</f>
        <v>0</v>
      </c>
      <c r="L45" s="34">
        <f t="shared" ca="1" si="4"/>
        <v>0</v>
      </c>
      <c r="M45" s="34"/>
      <c r="N45" s="34"/>
      <c r="O45" s="36"/>
      <c r="P45" s="36"/>
      <c r="Q45" s="36"/>
      <c r="R45" s="2"/>
      <c r="S45" s="2"/>
      <c r="T45" s="2"/>
      <c r="U45" s="2"/>
    </row>
    <row r="46" spans="1:21" x14ac:dyDescent="0.25">
      <c r="A46" s="23" t="s">
        <v>14</v>
      </c>
      <c r="B46" s="51">
        <f ca="1">SUMIFS(OFFSET(Persistance!$K:$K,0,$A$2-Persistance!$K$1),Persistance!$B:$B,$A46,Persistance!$D:$D,B$5)*1000*'Retrofit Split'!B$2</f>
        <v>0</v>
      </c>
      <c r="C46" s="51">
        <f ca="1">SUMIFS(OFFSET(Persistance!$K:$K,0,$A$2-Persistance!$K$1),Persistance!$B:$B,$A46,Persistance!$D:$D,C$5)*1000*'Retrofit Split'!C$2</f>
        <v>0</v>
      </c>
      <c r="D46" s="51">
        <f ca="1">SUMIFS(OFFSET(Persistance!$K:$K,0,$A$2-Persistance!$K$1),Persistance!$B:$B,$A46,Persistance!$D:$D,D$5)*1000*'Retrofit Split'!D$2</f>
        <v>20517.911097739776</v>
      </c>
      <c r="E46" s="51">
        <f ca="1">SUMIFS(OFFSET(Persistance!$K:$K,0,$A$2-Persistance!$K$1),Persistance!$B:$B,$A46,Persistance!$D:$D,E$5)*1000*'Retrofit Split'!E$2</f>
        <v>0</v>
      </c>
      <c r="F46" s="51">
        <f ca="1">SUMIFS(OFFSET(Persistance!$K:$K,0,$A$2-Persistance!$K$1),Persistance!$B:$B,$A46,Persistance!$D:$D,F$5)*1000*'Retrofit Split'!F$2</f>
        <v>0</v>
      </c>
      <c r="G46" s="51">
        <f ca="1">SUMIFS(OFFSET(Persistance!$K:$K,0,$A$2-Persistance!$K$1),Persistance!$B:$B,$A46,Persistance!$D:$D,G$5)*1000*'Retrofit Split'!G$2</f>
        <v>0</v>
      </c>
      <c r="H46" s="51">
        <f ca="1">SUMIFS(OFFSET(Persistance!$K:$K,0,$A$2-Persistance!$K$1),Persistance!$B:$B,$A46,Persistance!$D:$D,H$5)*1000*'Retrofit Split'!H$2</f>
        <v>0</v>
      </c>
      <c r="I46" s="51">
        <f ca="1">SUMIFS(OFFSET(Persistance!$K:$K,0,$A$2-Persistance!$K$1),Persistance!$B:$B,$A46,Persistance!$D:$D,I$5)*1000*'Retrofit Split'!I$2</f>
        <v>0</v>
      </c>
      <c r="J46" s="51">
        <f ca="1">SUMIFS(OFFSET(Persistance!$K:$K,0,$A$2-Persistance!$K$1),Persistance!$B:$B,$A46,Persistance!$D:$D,J$5)*1000*'Retrofit Split'!J$2</f>
        <v>0</v>
      </c>
      <c r="K46" s="51">
        <f ca="1">SUMIFS(OFFSET(Persistance!$K:$K,0,$A$2-Persistance!$K$1),Persistance!$B:$B,$A46,Persistance!$D:$D,K$5)*1000*'Retrofit Split'!K$2</f>
        <v>0</v>
      </c>
      <c r="L46" s="34">
        <f t="shared" ca="1" si="4"/>
        <v>20517.911097739776</v>
      </c>
      <c r="M46" s="34"/>
      <c r="N46" s="34"/>
      <c r="O46" s="36"/>
      <c r="P46" s="36"/>
      <c r="Q46" s="36"/>
      <c r="R46" s="2"/>
      <c r="S46" s="2"/>
      <c r="T46" s="2"/>
      <c r="U46" s="2"/>
    </row>
    <row r="47" spans="1:21" x14ac:dyDescent="0.25">
      <c r="A47" s="23" t="s">
        <v>73</v>
      </c>
      <c r="B47" s="51">
        <f ca="1">SUMIFS(OFFSET(Persistance!$K:$K,0,$A$2-Persistance!$K$1),Persistance!$B:$B,$A47,Persistance!$D:$D,B$5,Persistance!$A:$A,"Business")*1000</f>
        <v>0</v>
      </c>
      <c r="C47" s="51">
        <f ca="1">SUMIFS(OFFSET(Persistance!$K:$K,0,$A$2-Persistance!$K$1),Persistance!$B:$B,$A47,Persistance!$D:$D,C$5,Persistance!$A:$A,"Business")*1000</f>
        <v>0</v>
      </c>
      <c r="D47" s="51">
        <f ca="1">SUMIFS(OFFSET(Persistance!$K:$K,0,$A$2-Persistance!$K$1),Persistance!$B:$B,$A47,Persistance!$D:$D,D$5,Persistance!$A:$A,"Business")*1000</f>
        <v>310069.48845646001</v>
      </c>
      <c r="E47" s="51">
        <f ca="1">SUMIFS(OFFSET(Persistance!$K:$K,0,$A$2-Persistance!$K$1),Persistance!$B:$B,$A47,Persistance!$D:$D,E$5,Persistance!$A:$A,"Business")*1000</f>
        <v>0</v>
      </c>
      <c r="F47" s="51">
        <f ca="1">SUMIFS(OFFSET(Persistance!$K:$K,0,$A$2-Persistance!$K$1),Persistance!$B:$B,$A47,Persistance!$D:$D,F$5,Persistance!$A:$A,"Business")*1000</f>
        <v>0</v>
      </c>
      <c r="G47" s="51">
        <f ca="1">SUMIFS(OFFSET(Persistance!$K:$K,0,$A$2-Persistance!$K$1),Persistance!$B:$B,$A47,Persistance!$D:$D,G$5,Persistance!$A:$A,"Business")*1000</f>
        <v>0</v>
      </c>
      <c r="H47" s="51">
        <f ca="1">SUMIFS(OFFSET(Persistance!$K:$K,0,$A$2-Persistance!$K$1),Persistance!$B:$B,$A47,Persistance!$D:$D,H$5,Persistance!$A:$A,"Business")*1000</f>
        <v>0</v>
      </c>
      <c r="I47" s="51">
        <f ca="1">SUMIFS(OFFSET(Persistance!$K:$K,0,$A$2-Persistance!$K$1),Persistance!$B:$B,$A47,Persistance!$D:$D,I$5,Persistance!$A:$A,"Business")*1000</f>
        <v>0</v>
      </c>
      <c r="J47" s="51">
        <f ca="1">SUMIFS(OFFSET(Persistance!$K:$K,0,$A$2-Persistance!$K$1),Persistance!$B:$B,$A47,Persistance!$D:$D,J$5,Persistance!$A:$A,"Business")*1000</f>
        <v>0</v>
      </c>
      <c r="K47" s="51">
        <f ca="1">SUMIFS(OFFSET(Persistance!$K:$K,0,$A$2-Persistance!$K$1),Persistance!$B:$B,$A47,Persistance!$D:$D,K$5,Persistance!$A:$A,"Business")*1000</f>
        <v>0</v>
      </c>
      <c r="L47" s="34">
        <f t="shared" ca="1" si="4"/>
        <v>310069.48845646001</v>
      </c>
      <c r="M47" s="34"/>
      <c r="N47" s="34"/>
      <c r="O47" s="36"/>
      <c r="P47" s="36"/>
      <c r="Q47" s="36"/>
      <c r="R47" s="2"/>
      <c r="S47" s="2"/>
      <c r="T47" s="2"/>
      <c r="U47" s="2"/>
    </row>
    <row r="48" spans="1:21" x14ac:dyDescent="0.25">
      <c r="A48" s="23" t="s">
        <v>36</v>
      </c>
      <c r="B48" s="51">
        <f ca="1">SUMIFS(OFFSET(Persistance!$K:$K,0,$A$2-Persistance!$K$1),Persistance!$B:$B,$A48,Persistance!$D:$D,B$5,Persistance!$A:$A,"Business")*1000</f>
        <v>0</v>
      </c>
      <c r="C48" s="51">
        <f ca="1">SUMIFS(OFFSET(Persistance!$K:$K,0,$A$2-Persistance!$K$1),Persistance!$B:$B,$A48,Persistance!$D:$D,C$5,Persistance!$A:$A,"Business")*1000</f>
        <v>0</v>
      </c>
      <c r="D48" s="51">
        <f ca="1">SUMIFS(OFFSET(Persistance!$K:$K,0,$A$2-Persistance!$K$1),Persistance!$B:$B,$A48,Persistance!$D:$D,D$5,Persistance!$A:$A,"Business")*1000</f>
        <v>0</v>
      </c>
      <c r="E48" s="51">
        <f ca="1">SUMIFS(OFFSET(Persistance!$K:$K,0,$A$2-Persistance!$K$1),Persistance!$B:$B,$A48,Persistance!$D:$D,E$5,Persistance!$A:$A,"Business")*1000</f>
        <v>0</v>
      </c>
      <c r="F48" s="51">
        <f ca="1">SUMIFS(OFFSET(Persistance!$K:$K,0,$A$2-Persistance!$K$1),Persistance!$B:$B,$A48,Persistance!$D:$D,F$5,Persistance!$A:$A,"Business")*1000</f>
        <v>0</v>
      </c>
      <c r="G48" s="51">
        <f ca="1">SUMIFS(OFFSET(Persistance!$K:$K,0,$A$2-Persistance!$K$1),Persistance!$B:$B,$A48,Persistance!$D:$D,G$5,Persistance!$A:$A,"Business")*1000</f>
        <v>0</v>
      </c>
      <c r="H48" s="51">
        <f ca="1">SUMIFS(OFFSET(Persistance!$K:$K,0,$A$2-Persistance!$K$1),Persistance!$B:$B,$A48,Persistance!$D:$D,H$5,Persistance!$A:$A,"Business")*1000</f>
        <v>0</v>
      </c>
      <c r="I48" s="51">
        <f ca="1">SUMIFS(OFFSET(Persistance!$K:$K,0,$A$2-Persistance!$K$1),Persistance!$B:$B,$A48,Persistance!$D:$D,I$5,Persistance!$A:$A,"Business")*1000</f>
        <v>0</v>
      </c>
      <c r="J48" s="51">
        <f ca="1">SUMIFS(OFFSET(Persistance!$K:$K,0,$A$2-Persistance!$K$1),Persistance!$B:$B,$A48,Persistance!$D:$D,J$5,Persistance!$A:$A,"Business")*1000</f>
        <v>0</v>
      </c>
      <c r="K48" s="51">
        <f ca="1">SUMIFS(OFFSET(Persistance!$K:$K,0,$A$2-Persistance!$K$1),Persistance!$B:$B,$A48,Persistance!$D:$D,K$5,Persistance!$A:$A,"Business")*1000</f>
        <v>0</v>
      </c>
      <c r="L48" s="34">
        <f t="shared" ca="1" si="4"/>
        <v>0</v>
      </c>
      <c r="M48" s="34"/>
      <c r="N48" s="34"/>
      <c r="O48" s="36"/>
      <c r="P48" s="36"/>
      <c r="Q48" s="36"/>
      <c r="R48" s="2"/>
      <c r="S48" s="28" t="s">
        <v>49</v>
      </c>
      <c r="T48" s="28" t="s">
        <v>17</v>
      </c>
      <c r="U48" s="2" t="s">
        <v>50</v>
      </c>
    </row>
    <row r="49" spans="1:21" x14ac:dyDescent="0.25">
      <c r="B49" s="29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5"/>
      <c r="O49" s="36"/>
      <c r="P49" s="36"/>
      <c r="Q49" s="36"/>
      <c r="R49" s="2"/>
      <c r="S49" s="29">
        <f ca="1">$A$2</f>
        <v>2013</v>
      </c>
      <c r="T49" s="50">
        <f ca="1">AVERAGEIFS(Rates!E:E,Rates!F:F,'2013'!S49,Rates!G:G,"Business")</f>
        <v>1.4999999999999999E-2</v>
      </c>
      <c r="U49" s="30">
        <f ca="1">AVERAGEIFS(Rates!B:B,Rates!F:F,'2013'!S49,Rates!G:G,"Business")</f>
        <v>41426</v>
      </c>
    </row>
    <row r="50" spans="1:21" x14ac:dyDescent="0.25">
      <c r="A50" t="s">
        <v>10</v>
      </c>
      <c r="B50" s="64">
        <f t="shared" ref="B50:L50" ca="1" si="5">SUM(B32:B49)</f>
        <v>121356.32838291893</v>
      </c>
      <c r="C50" s="64">
        <f t="shared" ca="1" si="5"/>
        <v>419941.42005513818</v>
      </c>
      <c r="D50" s="64">
        <f t="shared" ca="1" si="5"/>
        <v>427553.20533795876</v>
      </c>
      <c r="E50" s="64">
        <f t="shared" ca="1" si="5"/>
        <v>0</v>
      </c>
      <c r="F50" s="64">
        <f t="shared" ca="1" si="5"/>
        <v>0</v>
      </c>
      <c r="G50" s="64">
        <f t="shared" ca="1" si="5"/>
        <v>0</v>
      </c>
      <c r="H50" s="64">
        <f t="shared" ca="1" si="5"/>
        <v>0</v>
      </c>
      <c r="I50" s="64">
        <f t="shared" ca="1" si="5"/>
        <v>0</v>
      </c>
      <c r="J50" s="64">
        <f t="shared" ca="1" si="5"/>
        <v>0</v>
      </c>
      <c r="K50" s="64">
        <f t="shared" ca="1" si="5"/>
        <v>0</v>
      </c>
      <c r="L50" s="64">
        <f t="shared" ca="1" si="5"/>
        <v>968850.9537760159</v>
      </c>
      <c r="M50" s="64">
        <f>Summary!$G$7</f>
        <v>308543</v>
      </c>
      <c r="N50" s="64">
        <f ca="1">(((MONTH(U49)-1)/12)*T50)+(((12-(MONTH(U49)-1))/12)*T49)</f>
        <v>1.4333333333333333E-2</v>
      </c>
      <c r="O50" s="64">
        <f ca="1">ROUND(L50*N50,2)</f>
        <v>13886.86</v>
      </c>
      <c r="P50" s="64">
        <f ca="1">ROUND(M50*N50,2)</f>
        <v>4422.45</v>
      </c>
      <c r="Q50" s="64">
        <f ca="1">+O50-P50</f>
        <v>9464.41</v>
      </c>
      <c r="R50" s="2"/>
      <c r="S50" s="29">
        <f ca="1">S49-1</f>
        <v>2012</v>
      </c>
      <c r="T50" s="50">
        <f ca="1">AVERAGEIFS(Rates!E:E,Rates!F:F,'2013'!S50,Rates!G:G,"Business")</f>
        <v>1.34E-2</v>
      </c>
      <c r="U50" s="2"/>
    </row>
    <row r="51" spans="1:21" x14ac:dyDescent="0.25">
      <c r="B51" s="29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5"/>
      <c r="O51" s="36"/>
      <c r="P51" s="36"/>
      <c r="Q51" s="36"/>
      <c r="R51" s="2"/>
      <c r="S51" s="2"/>
      <c r="T51" s="2"/>
      <c r="U51" s="2"/>
    </row>
    <row r="52" spans="1:21" x14ac:dyDescent="0.25">
      <c r="A52" t="s">
        <v>44</v>
      </c>
      <c r="B52" s="51">
        <f ca="1">SUMIFS(OFFSET(Persistance!$F:$F,0,$A$2-Persistance!$K$1),Persistance!$B:$B,'2013'!$A52,Persistance!$D:$D,'2013'!B$5,Persistance!$A:$A,"Industrial")*1000</f>
        <v>0</v>
      </c>
      <c r="C52" s="51">
        <f ca="1">SUMIFS(OFFSET(Persistance!$F:$F,0,$A$2-Persistance!$K$1),Persistance!$B:$B,'2013'!$A52,Persistance!$D:$D,'2013'!C$5,Persistance!$A:$A,"Industrial")*1000</f>
        <v>0</v>
      </c>
      <c r="D52" s="51">
        <f ca="1">SUMIFS(OFFSET(Persistance!$F:$F,0,$A$2-Persistance!$K$1),Persistance!$B:$B,'2013'!$A52,Persistance!$D:$D,'2013'!D$5,Persistance!$A:$A,"Industrial")*1000</f>
        <v>0</v>
      </c>
      <c r="E52" s="51">
        <f ca="1">SUMIFS(OFFSET(Persistance!$F:$F,0,$A$2-Persistance!$K$1),Persistance!$B:$B,'2013'!$A52,Persistance!$D:$D,'2013'!E$5,Persistance!$A:$A,"Industrial")*1000</f>
        <v>0</v>
      </c>
      <c r="F52" s="51">
        <f ca="1">SUMIFS(OFFSET(Persistance!$F:$F,0,$A$2-Persistance!$K$1),Persistance!$B:$B,'2013'!$A52,Persistance!$D:$D,'2013'!F$5,Persistance!$A:$A,"Industrial")*1000</f>
        <v>0</v>
      </c>
      <c r="G52" s="51">
        <f ca="1">SUMIFS(OFFSET(Persistance!$F:$F,0,$A$2-Persistance!$K$1),Persistance!$B:$B,'2013'!$A52,Persistance!$D:$D,'2013'!G$5,Persistance!$A:$A,"Industrial")*1000</f>
        <v>0</v>
      </c>
      <c r="H52" s="51">
        <f ca="1">SUMIFS(OFFSET(Persistance!$F:$F,0,$A$2-Persistance!$K$1),Persistance!$B:$B,'2013'!$A52,Persistance!$D:$D,'2013'!H$5,Persistance!$A:$A,"Industrial")*1000</f>
        <v>0</v>
      </c>
      <c r="I52" s="51">
        <f ca="1">SUMIFS(OFFSET(Persistance!$F:$F,0,$A$2-Persistance!$K$1),Persistance!$B:$B,'2013'!$A52,Persistance!$D:$D,'2013'!I$5,Persistance!$A:$A,"Industrial")*1000</f>
        <v>0</v>
      </c>
      <c r="J52" s="51">
        <f ca="1">SUMIFS(OFFSET(Persistance!$F:$F,0,$A$2-Persistance!$K$1),Persistance!$B:$B,'2013'!$A52,Persistance!$D:$D,'2013'!J$5,Persistance!$A:$A,"Industrial")*1000</f>
        <v>0</v>
      </c>
      <c r="K52" s="51">
        <f ca="1">SUMIFS(OFFSET(Persistance!$F:$F,0,$A$2-Persistance!$K$1),Persistance!$B:$B,'2013'!$A52,Persistance!$D:$D,'2013'!K$5,Persistance!$A:$A,"Industrial")*1000</f>
        <v>0</v>
      </c>
      <c r="L52" s="34">
        <v>0</v>
      </c>
      <c r="M52" s="52" t="s">
        <v>88</v>
      </c>
      <c r="N52" s="35"/>
      <c r="O52" s="36"/>
      <c r="P52" s="36"/>
      <c r="Q52" s="36"/>
      <c r="R52" s="2"/>
      <c r="S52" s="2"/>
      <c r="T52" s="2"/>
      <c r="U52" s="2"/>
    </row>
    <row r="53" spans="1:21" x14ac:dyDescent="0.25">
      <c r="A53" t="s">
        <v>42</v>
      </c>
      <c r="B53" s="51">
        <f ca="1">SUMIFS(OFFSET(Persistance!$F:$F,0,$A$2-Persistance!$K$1),Persistance!$B:$B,'2013'!$A53,Persistance!$D:$D,'2013'!B$5,Persistance!$A:$A,"Industrial")*1000</f>
        <v>0</v>
      </c>
      <c r="C53" s="51">
        <f ca="1">SUMIFS(OFFSET(Persistance!$F:$F,0,$A$2-Persistance!$K$1),Persistance!$B:$B,'2013'!$A53,Persistance!$D:$D,'2013'!C$5,Persistance!$A:$A,"Industrial")*1000</f>
        <v>0</v>
      </c>
      <c r="D53" s="51">
        <f ca="1">SUMIFS(OFFSET(Persistance!$F:$F,0,$A$2-Persistance!$K$1),Persistance!$B:$B,'2013'!$A53,Persistance!$D:$D,'2013'!D$5,Persistance!$A:$A,"Industrial")*1000</f>
        <v>0</v>
      </c>
      <c r="E53" s="51">
        <f ca="1">SUMIFS(OFFSET(Persistance!$F:$F,0,$A$2-Persistance!$K$1),Persistance!$B:$B,'2013'!$A53,Persistance!$D:$D,'2013'!E$5,Persistance!$A:$A,"Industrial")*1000</f>
        <v>0</v>
      </c>
      <c r="F53" s="51">
        <f ca="1">SUMIFS(OFFSET(Persistance!$F:$F,0,$A$2-Persistance!$K$1),Persistance!$B:$B,'2013'!$A53,Persistance!$D:$D,'2013'!F$5,Persistance!$A:$A,"Industrial")*1000</f>
        <v>0</v>
      </c>
      <c r="G53" s="51">
        <f ca="1">SUMIFS(OFFSET(Persistance!$F:$F,0,$A$2-Persistance!$K$1),Persistance!$B:$B,'2013'!$A53,Persistance!$D:$D,'2013'!G$5,Persistance!$A:$A,"Industrial")*1000</f>
        <v>0</v>
      </c>
      <c r="H53" s="51">
        <f ca="1">SUMIFS(OFFSET(Persistance!$F:$F,0,$A$2-Persistance!$K$1),Persistance!$B:$B,'2013'!$A53,Persistance!$D:$D,'2013'!H$5,Persistance!$A:$A,"Industrial")*1000</f>
        <v>0</v>
      </c>
      <c r="I53" s="51">
        <f ca="1">SUMIFS(OFFSET(Persistance!$F:$F,0,$A$2-Persistance!$K$1),Persistance!$B:$B,'2013'!$A53,Persistance!$D:$D,'2013'!I$5,Persistance!$A:$A,"Industrial")*1000</f>
        <v>0</v>
      </c>
      <c r="J53" s="51">
        <f ca="1">SUMIFS(OFFSET(Persistance!$F:$F,0,$A$2-Persistance!$K$1),Persistance!$B:$B,'2013'!$A53,Persistance!$D:$D,'2013'!J$5,Persistance!$A:$A,"Industrial")*1000</f>
        <v>0</v>
      </c>
      <c r="K53" s="51">
        <f ca="1">SUMIFS(OFFSET(Persistance!$F:$F,0,$A$2-Persistance!$K$1),Persistance!$B:$B,'2013'!$A53,Persistance!$D:$D,'2013'!K$5,Persistance!$A:$A,"Industrial")*1000</f>
        <v>0</v>
      </c>
      <c r="L53" s="34">
        <v>0</v>
      </c>
      <c r="M53" s="52" t="s">
        <v>88</v>
      </c>
      <c r="N53" s="35"/>
      <c r="O53" s="36"/>
      <c r="P53" s="36"/>
      <c r="Q53" s="36"/>
      <c r="R53" s="2"/>
      <c r="S53" s="2"/>
      <c r="T53" s="2"/>
      <c r="U53" s="2"/>
    </row>
    <row r="54" spans="1:21" x14ac:dyDescent="0.25">
      <c r="A54" t="s">
        <v>59</v>
      </c>
      <c r="B54" s="51">
        <f ca="1">SUMIFS(OFFSET(Persistance!$F:$F,0,$A$2-Persistance!$K$1),Persistance!$B:$B,'2013'!$A54,Persistance!$D:$D,'2013'!B$5,Persistance!$A:$A,"Industrial")*1000</f>
        <v>0</v>
      </c>
      <c r="C54" s="51">
        <f ca="1">SUMIFS(OFFSET(Persistance!$F:$F,0,$A$2-Persistance!$K$1),Persistance!$B:$B,'2013'!$A54,Persistance!$D:$D,'2013'!C$5,Persistance!$A:$A,"Industrial")*1000</f>
        <v>0</v>
      </c>
      <c r="D54" s="51">
        <f ca="1">SUMIFS(OFFSET(Persistance!$F:$F,0,$A$2-Persistance!$K$1),Persistance!$B:$B,'2013'!$A54,Persistance!$D:$D,'2013'!D$5,Persistance!$A:$A,"Industrial")*1000</f>
        <v>0</v>
      </c>
      <c r="E54" s="51">
        <f ca="1">SUMIFS(OFFSET(Persistance!$F:$F,0,$A$2-Persistance!$K$1),Persistance!$B:$B,'2013'!$A54,Persistance!$D:$D,'2013'!E$5,Persistance!$A:$A,"Industrial")*1000</f>
        <v>0</v>
      </c>
      <c r="F54" s="51">
        <f ca="1">SUMIFS(OFFSET(Persistance!$F:$F,0,$A$2-Persistance!$K$1),Persistance!$B:$B,'2013'!$A54,Persistance!$D:$D,'2013'!F$5,Persistance!$A:$A,"Industrial")*1000</f>
        <v>0</v>
      </c>
      <c r="G54" s="51">
        <f ca="1">SUMIFS(OFFSET(Persistance!$F:$F,0,$A$2-Persistance!$K$1),Persistance!$B:$B,'2013'!$A54,Persistance!$D:$D,'2013'!G$5,Persistance!$A:$A,"Industrial")*1000</f>
        <v>0</v>
      </c>
      <c r="H54" s="51">
        <f ca="1">SUMIFS(OFFSET(Persistance!$F:$F,0,$A$2-Persistance!$K$1),Persistance!$B:$B,'2013'!$A54,Persistance!$D:$D,'2013'!H$5,Persistance!$A:$A,"Industrial")*1000</f>
        <v>0</v>
      </c>
      <c r="I54" s="51">
        <f ca="1">SUMIFS(OFFSET(Persistance!$F:$F,0,$A$2-Persistance!$K$1),Persistance!$B:$B,'2013'!$A54,Persistance!$D:$D,'2013'!I$5,Persistance!$A:$A,"Industrial")*1000</f>
        <v>0</v>
      </c>
      <c r="J54" s="51">
        <f ca="1">SUMIFS(OFFSET(Persistance!$F:$F,0,$A$2-Persistance!$K$1),Persistance!$B:$B,'2013'!$A54,Persistance!$D:$D,'2013'!J$5,Persistance!$A:$A,"Industrial")*1000</f>
        <v>0</v>
      </c>
      <c r="K54" s="51">
        <f ca="1">SUMIFS(OFFSET(Persistance!$F:$F,0,$A$2-Persistance!$K$1),Persistance!$B:$B,'2013'!$A54,Persistance!$D:$D,'2013'!K$5,Persistance!$A:$A,"Industrial")*1000</f>
        <v>0</v>
      </c>
      <c r="L54" s="34">
        <f ca="1">SUM(B54:K54)*3</f>
        <v>0</v>
      </c>
      <c r="M54" s="52" t="s">
        <v>89</v>
      </c>
      <c r="N54" s="35"/>
      <c r="O54" s="36"/>
      <c r="P54" s="36"/>
      <c r="Q54" s="36"/>
      <c r="R54" s="2"/>
      <c r="S54" s="2"/>
      <c r="T54" s="2"/>
      <c r="U54" s="2"/>
    </row>
    <row r="55" spans="1:21" x14ac:dyDescent="0.25">
      <c r="A55" s="23" t="s">
        <v>56</v>
      </c>
      <c r="B55" s="51">
        <f ca="1">SUMIFS(OFFSET(Persistance!$F:$F,0,$A$2-Persistance!$K$1),Persistance!$B:$B,'2013'!$A55,Persistance!$D:$D,'2013'!B$5,Persistance!$A:$A,"Industrial")*1000</f>
        <v>0</v>
      </c>
      <c r="C55" s="51">
        <f ca="1">SUMIFS(OFFSET(Persistance!$F:$F,0,$A$2-Persistance!$K$1),Persistance!$B:$B,'2013'!$A55,Persistance!$D:$D,'2013'!C$5,Persistance!$A:$A,"Industrial")*1000</f>
        <v>0</v>
      </c>
      <c r="D55" s="51">
        <f ca="1">SUMIFS(OFFSET(Persistance!$F:$F,0,$A$2-Persistance!$K$1),Persistance!$B:$B,'2013'!$A55,Persistance!$D:$D,'2013'!D$5,Persistance!$A:$A,"Industrial")*1000</f>
        <v>0</v>
      </c>
      <c r="E55" s="51">
        <f ca="1">SUMIFS(OFFSET(Persistance!$F:$F,0,$A$2-Persistance!$K$1),Persistance!$B:$B,'2013'!$A55,Persistance!$D:$D,'2013'!E$5,Persistance!$A:$A,"Industrial")*1000</f>
        <v>0</v>
      </c>
      <c r="F55" s="51">
        <f ca="1">SUMIFS(OFFSET(Persistance!$F:$F,0,$A$2-Persistance!$K$1),Persistance!$B:$B,'2013'!$A55,Persistance!$D:$D,'2013'!F$5,Persistance!$A:$A,"Industrial")*1000</f>
        <v>0</v>
      </c>
      <c r="G55" s="51">
        <f ca="1">SUMIFS(OFFSET(Persistance!$F:$F,0,$A$2-Persistance!$K$1),Persistance!$B:$B,'2013'!$A55,Persistance!$D:$D,'2013'!G$5,Persistance!$A:$A,"Industrial")*1000</f>
        <v>0</v>
      </c>
      <c r="H55" s="51">
        <f ca="1">SUMIFS(OFFSET(Persistance!$F:$F,0,$A$2-Persistance!$K$1),Persistance!$B:$B,'2013'!$A55,Persistance!$D:$D,'2013'!H$5,Persistance!$A:$A,"Industrial")*1000</f>
        <v>0</v>
      </c>
      <c r="I55" s="51">
        <f ca="1">SUMIFS(OFFSET(Persistance!$F:$F,0,$A$2-Persistance!$K$1),Persistance!$B:$B,'2013'!$A55,Persistance!$D:$D,'2013'!I$5,Persistance!$A:$A,"Industrial")*1000</f>
        <v>0</v>
      </c>
      <c r="J55" s="51">
        <f ca="1">SUMIFS(OFFSET(Persistance!$F:$F,0,$A$2-Persistance!$K$1),Persistance!$B:$B,'2013'!$A55,Persistance!$D:$D,'2013'!J$5,Persistance!$A:$A,"Industrial")*1000</f>
        <v>0</v>
      </c>
      <c r="K55" s="51">
        <f ca="1">SUMIFS(OFFSET(Persistance!$F:$F,0,$A$2-Persistance!$K$1),Persistance!$B:$B,'2013'!$A55,Persistance!$D:$D,'2013'!K$5,Persistance!$A:$A,"Industrial")*1000</f>
        <v>0</v>
      </c>
      <c r="L55" s="34">
        <f t="shared" ref="L55" ca="1" si="6">SUM(B55:K55)*12</f>
        <v>0</v>
      </c>
      <c r="M55" s="34"/>
      <c r="N55" s="35"/>
      <c r="O55" s="36"/>
      <c r="P55" s="36"/>
      <c r="Q55" s="36"/>
      <c r="R55" s="2"/>
      <c r="S55" s="2"/>
      <c r="T55" s="2"/>
      <c r="U55" s="2"/>
    </row>
    <row r="56" spans="1:21" x14ac:dyDescent="0.25">
      <c r="A56" t="s">
        <v>64</v>
      </c>
      <c r="B56" s="51">
        <f ca="1">SUMIFS(OFFSET(Persistance!$F:$F,0,$A$2-Persistance!$K$1),Persistance!$B:$B,'2013'!$A56,Persistance!$D:$D,'2013'!B$5,Persistance!$A:$A,"Industrial")*1000</f>
        <v>0</v>
      </c>
      <c r="C56" s="51">
        <f ca="1">SUMIFS(OFFSET(Persistance!$F:$F,0,$A$2-Persistance!$K$1),Persistance!$B:$B,'2013'!$A56,Persistance!$D:$D,'2013'!C$5,Persistance!$A:$A,"Industrial")*1000</f>
        <v>0</v>
      </c>
      <c r="D56" s="51">
        <f ca="1">SUMIFS(OFFSET(Persistance!$F:$F,0,$A$2-Persistance!$K$1),Persistance!$B:$B,'2013'!$A56,Persistance!$D:$D,'2013'!D$5,Persistance!$A:$A,"Industrial")*1000</f>
        <v>0</v>
      </c>
      <c r="E56" s="51">
        <f ca="1">SUMIFS(OFFSET(Persistance!$F:$F,0,$A$2-Persistance!$K$1),Persistance!$B:$B,'2013'!$A56,Persistance!$D:$D,'2013'!E$5,Persistance!$A:$A,"Industrial")*1000</f>
        <v>0</v>
      </c>
      <c r="F56" s="51">
        <f ca="1">SUMIFS(OFFSET(Persistance!$F:$F,0,$A$2-Persistance!$K$1),Persistance!$B:$B,'2013'!$A56,Persistance!$D:$D,'2013'!F$5,Persistance!$A:$A,"Industrial")*1000</f>
        <v>0</v>
      </c>
      <c r="G56" s="51">
        <f ca="1">SUMIFS(OFFSET(Persistance!$F:$F,0,$A$2-Persistance!$K$1),Persistance!$B:$B,'2013'!$A56,Persistance!$D:$D,'2013'!G$5,Persistance!$A:$A,"Industrial")*1000</f>
        <v>0</v>
      </c>
      <c r="H56" s="51">
        <f ca="1">SUMIFS(OFFSET(Persistance!$F:$F,0,$A$2-Persistance!$K$1),Persistance!$B:$B,'2013'!$A56,Persistance!$D:$D,'2013'!H$5,Persistance!$A:$A,"Industrial")*1000</f>
        <v>0</v>
      </c>
      <c r="I56" s="51">
        <f ca="1">SUMIFS(OFFSET(Persistance!$F:$F,0,$A$2-Persistance!$K$1),Persistance!$B:$B,'2013'!$A56,Persistance!$D:$D,'2013'!I$5,Persistance!$A:$A,"Industrial")*1000</f>
        <v>0</v>
      </c>
      <c r="J56" s="51">
        <f ca="1">SUMIFS(OFFSET(Persistance!$F:$F,0,$A$2-Persistance!$K$1),Persistance!$B:$B,'2013'!$A56,Persistance!$D:$D,'2013'!J$5,Persistance!$A:$A,"Industrial")*1000</f>
        <v>0</v>
      </c>
      <c r="K56" s="51">
        <f ca="1">SUMIFS(OFFSET(Persistance!$F:$F,0,$A$2-Persistance!$K$1),Persistance!$B:$B,'2013'!$A56,Persistance!$D:$D,'2013'!K$5,Persistance!$A:$A,"Industrial")*1000</f>
        <v>0</v>
      </c>
      <c r="L56" s="34">
        <f ca="1">SUM(B56:K56)*12</f>
        <v>0</v>
      </c>
      <c r="M56" s="34"/>
      <c r="N56" s="35"/>
      <c r="O56" s="36"/>
      <c r="P56" s="36"/>
      <c r="Q56" s="36"/>
      <c r="R56" s="2"/>
      <c r="S56" s="2"/>
      <c r="T56" s="2"/>
      <c r="U56" s="2"/>
    </row>
    <row r="57" spans="1:21" x14ac:dyDescent="0.25">
      <c r="A57" s="23" t="s">
        <v>8</v>
      </c>
      <c r="B57" s="51">
        <f ca="1">SUMIFS(OFFSET(Persistance!$F:$F,0,$A$2-Persistance!$K$1),Persistance!$B:$B,'2013'!$A57,Persistance!$D:$D,'2013'!B$5,Persistance!$A:$A,"Industrial")*1000</f>
        <v>0</v>
      </c>
      <c r="C57" s="51">
        <f ca="1">SUMIFS(OFFSET(Persistance!$F:$F,0,$A$2-Persistance!$K$1),Persistance!$B:$B,'2013'!$A57,Persistance!$D:$D,'2013'!C$5,Persistance!$A:$A,"Industrial")*1000</f>
        <v>0</v>
      </c>
      <c r="D57" s="51">
        <f ca="1">SUMIFS(OFFSET(Persistance!$F:$F,0,$A$2-Persistance!$K$1),Persistance!$B:$B,'2013'!$A57,Persistance!$D:$D,'2013'!D$5,Persistance!$A:$A,"Industrial")*1000</f>
        <v>0</v>
      </c>
      <c r="E57" s="51">
        <f ca="1">SUMIFS(OFFSET(Persistance!$F:$F,0,$A$2-Persistance!$K$1),Persistance!$B:$B,'2013'!$A57,Persistance!$D:$D,'2013'!E$5,Persistance!$A:$A,"Industrial")*1000</f>
        <v>0</v>
      </c>
      <c r="F57" s="51">
        <f ca="1">SUMIFS(OFFSET(Persistance!$F:$F,0,$A$2-Persistance!$K$1),Persistance!$B:$B,'2013'!$A57,Persistance!$D:$D,'2013'!F$5,Persistance!$A:$A,"Industrial")*1000</f>
        <v>0</v>
      </c>
      <c r="G57" s="51">
        <f ca="1">SUMIFS(OFFSET(Persistance!$F:$F,0,$A$2-Persistance!$K$1),Persistance!$B:$B,'2013'!$A57,Persistance!$D:$D,'2013'!G$5,Persistance!$A:$A,"Industrial")*1000</f>
        <v>0</v>
      </c>
      <c r="H57" s="51">
        <f ca="1">SUMIFS(OFFSET(Persistance!$F:$F,0,$A$2-Persistance!$K$1),Persistance!$B:$B,'2013'!$A57,Persistance!$D:$D,'2013'!H$5,Persistance!$A:$A,"Industrial")*1000</f>
        <v>0</v>
      </c>
      <c r="I57" s="51">
        <f ca="1">SUMIFS(OFFSET(Persistance!$F:$F,0,$A$2-Persistance!$K$1),Persistance!$B:$B,'2013'!$A57,Persistance!$D:$D,'2013'!I$5,Persistance!$A:$A,"Industrial")*1000</f>
        <v>0</v>
      </c>
      <c r="J57" s="51">
        <f ca="1">SUMIFS(OFFSET(Persistance!$F:$F,0,$A$2-Persistance!$K$1),Persistance!$B:$B,'2013'!$A57,Persistance!$D:$D,'2013'!J$5,Persistance!$A:$A,"Industrial")*1000</f>
        <v>0</v>
      </c>
      <c r="K57" s="51">
        <f ca="1">SUMIFS(OFFSET(Persistance!$F:$F,0,$A$2-Persistance!$K$1),Persistance!$B:$B,'2013'!$A57,Persistance!$D:$D,'2013'!K$5,Persistance!$A:$A,"Industrial")*1000</f>
        <v>0</v>
      </c>
      <c r="L57" s="34">
        <f ca="1">SUM(B57:K57)*12</f>
        <v>0</v>
      </c>
      <c r="M57" s="34"/>
      <c r="N57" s="35"/>
      <c r="O57" s="36"/>
      <c r="P57" s="36"/>
      <c r="Q57" s="36"/>
      <c r="R57" s="2"/>
      <c r="S57" s="2"/>
      <c r="T57" s="2"/>
      <c r="U57" s="2"/>
    </row>
    <row r="58" spans="1:21" x14ac:dyDescent="0.25">
      <c r="A58" t="s">
        <v>61</v>
      </c>
      <c r="B58" s="51">
        <f ca="1">SUMIFS(OFFSET(Persistance!$F:$F,0,$A$2-Persistance!$K$1),Persistance!$B:$B,'2013'!$A58,Persistance!$D:$D,'2013'!B$5,Persistance!$A:$A,"Industrial")*1000</f>
        <v>0</v>
      </c>
      <c r="C58" s="51">
        <f ca="1">SUMIFS(OFFSET(Persistance!$F:$F,0,$A$2-Persistance!$K$1),Persistance!$B:$B,'2013'!$A58,Persistance!$D:$D,'2013'!C$5,Persistance!$A:$A,"Industrial")*1000</f>
        <v>0</v>
      </c>
      <c r="D58" s="51">
        <f ca="1">SUMIFS(OFFSET(Persistance!$F:$F,0,$A$2-Persistance!$K$1),Persistance!$B:$B,'2013'!$A58,Persistance!$D:$D,'2013'!D$5,Persistance!$A:$A,"Industrial")*1000</f>
        <v>0</v>
      </c>
      <c r="E58" s="51">
        <f ca="1">SUMIFS(OFFSET(Persistance!$F:$F,0,$A$2-Persistance!$K$1),Persistance!$B:$B,'2013'!$A58,Persistance!$D:$D,'2013'!E$5,Persistance!$A:$A,"Industrial")*1000</f>
        <v>0</v>
      </c>
      <c r="F58" s="51">
        <f ca="1">SUMIFS(OFFSET(Persistance!$F:$F,0,$A$2-Persistance!$K$1),Persistance!$B:$B,'2013'!$A58,Persistance!$D:$D,'2013'!F$5,Persistance!$A:$A,"Industrial")*1000</f>
        <v>0</v>
      </c>
      <c r="G58" s="51">
        <f ca="1">SUMIFS(OFFSET(Persistance!$F:$F,0,$A$2-Persistance!$K$1),Persistance!$B:$B,'2013'!$A58,Persistance!$D:$D,'2013'!G$5,Persistance!$A:$A,"Industrial")*1000</f>
        <v>0</v>
      </c>
      <c r="H58" s="51">
        <f ca="1">SUMIFS(OFFSET(Persistance!$F:$F,0,$A$2-Persistance!$K$1),Persistance!$B:$B,'2013'!$A58,Persistance!$D:$D,'2013'!H$5,Persistance!$A:$A,"Industrial")*1000</f>
        <v>0</v>
      </c>
      <c r="I58" s="51">
        <f ca="1">SUMIFS(OFFSET(Persistance!$F:$F,0,$A$2-Persistance!$K$1),Persistance!$B:$B,'2013'!$A58,Persistance!$D:$D,'2013'!I$5,Persistance!$A:$A,"Industrial")*1000</f>
        <v>0</v>
      </c>
      <c r="J58" s="51">
        <f ca="1">SUMIFS(OFFSET(Persistance!$F:$F,0,$A$2-Persistance!$K$1),Persistance!$B:$B,'2013'!$A58,Persistance!$D:$D,'2013'!J$5,Persistance!$A:$A,"Industrial")*1000</f>
        <v>0</v>
      </c>
      <c r="K58" s="51">
        <f ca="1">SUMIFS(OFFSET(Persistance!$F:$F,0,$A$2-Persistance!$K$1),Persistance!$B:$B,'2013'!$A58,Persistance!$D:$D,'2013'!K$5,Persistance!$A:$A,"Industrial")*1000</f>
        <v>0</v>
      </c>
      <c r="L58" s="34">
        <f t="shared" ref="L58:L61" ca="1" si="7">SUM(B58:K58)*12</f>
        <v>0</v>
      </c>
      <c r="M58" s="34"/>
      <c r="N58" s="35"/>
      <c r="O58" s="36"/>
      <c r="P58" s="36"/>
      <c r="Q58" s="36"/>
      <c r="R58" s="2"/>
      <c r="S58" s="2"/>
      <c r="T58" s="2"/>
      <c r="U58" s="2"/>
    </row>
    <row r="59" spans="1:21" x14ac:dyDescent="0.25">
      <c r="A59" t="s">
        <v>62</v>
      </c>
      <c r="B59" s="51">
        <f ca="1">SUMIFS(OFFSET(Persistance!$F:$F,0,$A$2-Persistance!$K$1),Persistance!$B:$B,'2013'!$A59,Persistance!$D:$D,'2013'!B$5,Persistance!$A:$A,"Industrial")*1000</f>
        <v>0</v>
      </c>
      <c r="C59" s="51">
        <f ca="1">SUMIFS(OFFSET(Persistance!$F:$F,0,$A$2-Persistance!$K$1),Persistance!$B:$B,'2013'!$A59,Persistance!$D:$D,'2013'!C$5,Persistance!$A:$A,"Industrial")*1000</f>
        <v>0</v>
      </c>
      <c r="D59" s="51">
        <f ca="1">SUMIFS(OFFSET(Persistance!$F:$F,0,$A$2-Persistance!$K$1),Persistance!$B:$B,'2013'!$A59,Persistance!$D:$D,'2013'!D$5,Persistance!$A:$A,"Industrial")*1000</f>
        <v>0</v>
      </c>
      <c r="E59" s="51">
        <f ca="1">SUMIFS(OFFSET(Persistance!$F:$F,0,$A$2-Persistance!$K$1),Persistance!$B:$B,'2013'!$A59,Persistance!$D:$D,'2013'!E$5,Persistance!$A:$A,"Industrial")*1000</f>
        <v>0</v>
      </c>
      <c r="F59" s="51">
        <f ca="1">SUMIFS(OFFSET(Persistance!$F:$F,0,$A$2-Persistance!$K$1),Persistance!$B:$B,'2013'!$A59,Persistance!$D:$D,'2013'!F$5,Persistance!$A:$A,"Industrial")*1000</f>
        <v>0</v>
      </c>
      <c r="G59" s="51">
        <f ca="1">SUMIFS(OFFSET(Persistance!$F:$F,0,$A$2-Persistance!$K$1),Persistance!$B:$B,'2013'!$A59,Persistance!$D:$D,'2013'!G$5,Persistance!$A:$A,"Industrial")*1000</f>
        <v>0</v>
      </c>
      <c r="H59" s="51">
        <f ca="1">SUMIFS(OFFSET(Persistance!$F:$F,0,$A$2-Persistance!$K$1),Persistance!$B:$B,'2013'!$A59,Persistance!$D:$D,'2013'!H$5,Persistance!$A:$A,"Industrial")*1000</f>
        <v>0</v>
      </c>
      <c r="I59" s="51">
        <f ca="1">SUMIFS(OFFSET(Persistance!$F:$F,0,$A$2-Persistance!$K$1),Persistance!$B:$B,'2013'!$A59,Persistance!$D:$D,'2013'!I$5,Persistance!$A:$A,"Industrial")*1000</f>
        <v>0</v>
      </c>
      <c r="J59" s="51">
        <f ca="1">SUMIFS(OFFSET(Persistance!$F:$F,0,$A$2-Persistance!$K$1),Persistance!$B:$B,'2013'!$A59,Persistance!$D:$D,'2013'!J$5,Persistance!$A:$A,"Industrial")*1000</f>
        <v>0</v>
      </c>
      <c r="K59" s="51">
        <f ca="1">SUMIFS(OFFSET(Persistance!$F:$F,0,$A$2-Persistance!$K$1),Persistance!$B:$B,'2013'!$A59,Persistance!$D:$D,'2013'!K$5,Persistance!$A:$A,"Industrial")*1000</f>
        <v>0</v>
      </c>
      <c r="L59" s="34">
        <f t="shared" ca="1" si="7"/>
        <v>0</v>
      </c>
      <c r="M59" s="34"/>
      <c r="N59" s="35"/>
      <c r="O59" s="36"/>
      <c r="P59" s="36"/>
      <c r="Q59" s="36"/>
      <c r="R59" s="2"/>
      <c r="S59" s="2"/>
      <c r="T59" s="2"/>
      <c r="U59" s="2"/>
    </row>
    <row r="60" spans="1:21" x14ac:dyDescent="0.25">
      <c r="A60" t="s">
        <v>60</v>
      </c>
      <c r="B60" s="51">
        <f ca="1">SUMIFS(OFFSET(Persistance!$F:$F,0,$A$2-Persistance!$K$1),Persistance!$B:$B,'2013'!$A60,Persistance!$D:$D,'2013'!B$5,Persistance!$A:$A,"Industrial")*1000</f>
        <v>0</v>
      </c>
      <c r="C60" s="51">
        <f ca="1">SUMIFS(OFFSET(Persistance!$F:$F,0,$A$2-Persistance!$K$1),Persistance!$B:$B,'2013'!$A60,Persistance!$D:$D,'2013'!C$5,Persistance!$A:$A,"Industrial")*1000</f>
        <v>0</v>
      </c>
      <c r="D60" s="51">
        <f ca="1">SUMIFS(OFFSET(Persistance!$F:$F,0,$A$2-Persistance!$K$1),Persistance!$B:$B,'2013'!$A60,Persistance!$D:$D,'2013'!D$5,Persistance!$A:$A,"Industrial")*1000</f>
        <v>0</v>
      </c>
      <c r="E60" s="51">
        <f ca="1">SUMIFS(OFFSET(Persistance!$F:$F,0,$A$2-Persistance!$K$1),Persistance!$B:$B,'2013'!$A60,Persistance!$D:$D,'2013'!E$5,Persistance!$A:$A,"Industrial")*1000</f>
        <v>0</v>
      </c>
      <c r="F60" s="51">
        <f ca="1">SUMIFS(OFFSET(Persistance!$F:$F,0,$A$2-Persistance!$K$1),Persistance!$B:$B,'2013'!$A60,Persistance!$D:$D,'2013'!F$5,Persistance!$A:$A,"Industrial")*1000</f>
        <v>0</v>
      </c>
      <c r="G60" s="51">
        <f ca="1">SUMIFS(OFFSET(Persistance!$F:$F,0,$A$2-Persistance!$K$1),Persistance!$B:$B,'2013'!$A60,Persistance!$D:$D,'2013'!G$5,Persistance!$A:$A,"Industrial")*1000</f>
        <v>0</v>
      </c>
      <c r="H60" s="51">
        <f ca="1">SUMIFS(OFFSET(Persistance!$F:$F,0,$A$2-Persistance!$K$1),Persistance!$B:$B,'2013'!$A60,Persistance!$D:$D,'2013'!H$5,Persistance!$A:$A,"Industrial")*1000</f>
        <v>0</v>
      </c>
      <c r="I60" s="51">
        <f ca="1">SUMIFS(OFFSET(Persistance!$F:$F,0,$A$2-Persistance!$K$1),Persistance!$B:$B,'2013'!$A60,Persistance!$D:$D,'2013'!I$5,Persistance!$A:$A,"Industrial")*1000</f>
        <v>0</v>
      </c>
      <c r="J60" s="51">
        <f ca="1">SUMIFS(OFFSET(Persistance!$F:$F,0,$A$2-Persistance!$K$1),Persistance!$B:$B,'2013'!$A60,Persistance!$D:$D,'2013'!J$5,Persistance!$A:$A,"Industrial")*1000</f>
        <v>0</v>
      </c>
      <c r="K60" s="51">
        <f ca="1">SUMIFS(OFFSET(Persistance!$F:$F,0,$A$2-Persistance!$K$1),Persistance!$B:$B,'2013'!$A60,Persistance!$D:$D,'2013'!K$5,Persistance!$A:$A,"Industrial")*1000</f>
        <v>0</v>
      </c>
      <c r="L60" s="34">
        <f t="shared" ca="1" si="7"/>
        <v>0</v>
      </c>
      <c r="M60" s="34"/>
      <c r="N60" s="35"/>
      <c r="O60" s="36"/>
      <c r="P60" s="36"/>
      <c r="Q60" s="36"/>
      <c r="R60" s="2"/>
      <c r="S60" s="2"/>
      <c r="T60" s="2"/>
      <c r="U60" s="2"/>
    </row>
    <row r="61" spans="1:21" x14ac:dyDescent="0.25">
      <c r="A61" t="s">
        <v>14</v>
      </c>
      <c r="B61" s="51">
        <f ca="1">SUMIFS(OFFSET(Persistance!$F:$F,0,$A$2-Persistance!$F$1),Persistance!$B:$B,$A61,Persistance!$D:$D,B$5)*1000*'Retrofit Split'!B$7</f>
        <v>51.5900486688152</v>
      </c>
      <c r="C61" s="51">
        <f ca="1">SUMIFS(OFFSET(Persistance!$F:$F,0,$A$2-Persistance!$F$1),Persistance!$B:$B,$A61,Persistance!$D:$D,C$5)*1000*'Retrofit Split'!C$7</f>
        <v>9.5530774238729812</v>
      </c>
      <c r="D61" s="51">
        <f ca="1">SUMIFS(OFFSET(Persistance!$F:$F,0,$A$2-Persistance!$F$1),Persistance!$B:$B,$A61,Persistance!$D:$D,D$5)*1000*'Retrofit Split'!D$7</f>
        <v>14.616853904476695</v>
      </c>
      <c r="E61" s="51">
        <f ca="1">SUMIFS(OFFSET(Persistance!$F:$F,0,$A$2-Persistance!$F$1),Persistance!$B:$B,$A61,Persistance!$D:$D,E$5)*1000*'Retrofit Split'!E$7</f>
        <v>0</v>
      </c>
      <c r="F61" s="51">
        <f ca="1">SUMIFS(OFFSET(Persistance!$F:$F,0,$A$2-Persistance!$F$1),Persistance!$B:$B,$A61,Persistance!$D:$D,F$5)*1000*'Retrofit Split'!F$7</f>
        <v>0</v>
      </c>
      <c r="G61" s="51">
        <f ca="1">SUMIFS(OFFSET(Persistance!$F:$F,0,$A$2-Persistance!$F$1),Persistance!$B:$B,$A61,Persistance!$D:$D,G$5)*1000*'Retrofit Split'!G$7</f>
        <v>0</v>
      </c>
      <c r="H61" s="51">
        <f ca="1">SUMIFS(OFFSET(Persistance!$F:$F,0,$A$2-Persistance!$F$1),Persistance!$B:$B,$A61,Persistance!$D:$D,H$5)*1000*'Retrofit Split'!H$7</f>
        <v>0</v>
      </c>
      <c r="I61" s="51">
        <f ca="1">SUMIFS(OFFSET(Persistance!$F:$F,0,$A$2-Persistance!$F$1),Persistance!$B:$B,$A61,Persistance!$D:$D,I$5)*1000*'Retrofit Split'!I$7</f>
        <v>0</v>
      </c>
      <c r="J61" s="51">
        <f ca="1">SUMIFS(OFFSET(Persistance!$F:$F,0,$A$2-Persistance!$F$1),Persistance!$B:$B,$A61,Persistance!$D:$D,J$5)*1000*'Retrofit Split'!J$7</f>
        <v>0</v>
      </c>
      <c r="K61" s="51">
        <f ca="1">SUMIFS(OFFSET(Persistance!$F:$F,0,$A$2-Persistance!$F$1),Persistance!$B:$B,$A61,Persistance!$D:$D,K$5)*1000*'Retrofit Split'!K$7</f>
        <v>0</v>
      </c>
      <c r="L61" s="34">
        <f t="shared" ca="1" si="7"/>
        <v>909.11975996597857</v>
      </c>
      <c r="M61" s="34"/>
      <c r="N61" s="35"/>
      <c r="O61" s="36"/>
      <c r="P61" s="36"/>
      <c r="Q61" s="36"/>
      <c r="R61" s="2"/>
      <c r="S61" s="28" t="s">
        <v>49</v>
      </c>
      <c r="T61" s="28" t="s">
        <v>17</v>
      </c>
      <c r="U61" s="2" t="s">
        <v>50</v>
      </c>
    </row>
    <row r="62" spans="1:21" x14ac:dyDescent="0.25">
      <c r="B62" s="29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5"/>
      <c r="O62" s="36"/>
      <c r="P62" s="36"/>
      <c r="Q62" s="36"/>
      <c r="R62" s="2"/>
      <c r="S62" s="29">
        <f ca="1">$A$2</f>
        <v>2013</v>
      </c>
      <c r="T62" s="50">
        <f ca="1">AVERAGEIFS(Rates!E:E,Rates!F:F,'2013'!S62,Rates!G:G,"Industrial")</f>
        <v>0.86980000000000002</v>
      </c>
      <c r="U62" s="30">
        <f ca="1">AVERAGEIFS(Rates!B:B,Rates!F:F,'2013'!S62,Rates!G:G,"Industrial")</f>
        <v>41426</v>
      </c>
    </row>
    <row r="63" spans="1:21" x14ac:dyDescent="0.25">
      <c r="A63" t="s">
        <v>19</v>
      </c>
      <c r="B63" s="64">
        <f ca="1">SUM(B52:B62)</f>
        <v>51.5900486688152</v>
      </c>
      <c r="C63" s="64">
        <f ca="1">SUM(C52:C62)</f>
        <v>9.5530774238729812</v>
      </c>
      <c r="D63" s="64">
        <f ca="1">SUM(D52:D62)</f>
        <v>14.616853904476695</v>
      </c>
      <c r="E63" s="64">
        <f t="shared" ref="E63:L63" ca="1" si="8">SUM(E52:E62)</f>
        <v>0</v>
      </c>
      <c r="F63" s="64">
        <f t="shared" ca="1" si="8"/>
        <v>0</v>
      </c>
      <c r="G63" s="64">
        <f t="shared" ca="1" si="8"/>
        <v>0</v>
      </c>
      <c r="H63" s="64">
        <f t="shared" ca="1" si="8"/>
        <v>0</v>
      </c>
      <c r="I63" s="64">
        <f t="shared" ca="1" si="8"/>
        <v>0</v>
      </c>
      <c r="J63" s="64">
        <f t="shared" ca="1" si="8"/>
        <v>0</v>
      </c>
      <c r="K63" s="64">
        <f t="shared" ca="1" si="8"/>
        <v>0</v>
      </c>
      <c r="L63" s="64">
        <f t="shared" ca="1" si="8"/>
        <v>909.11975996597857</v>
      </c>
      <c r="M63" s="64">
        <f>Summary!$F$8</f>
        <v>1037</v>
      </c>
      <c r="N63" s="64">
        <f ca="1">(((MONTH(U62)-1)/12)*T63)+(((12-(MONTH(U62)-1))/12)*T62)</f>
        <v>0.79405000000000014</v>
      </c>
      <c r="O63" s="64">
        <f ca="1">ROUND(L63*N63,2)</f>
        <v>721.89</v>
      </c>
      <c r="P63" s="64">
        <f ca="1">ROUND(M63*N63,2)</f>
        <v>823.43</v>
      </c>
      <c r="Q63" s="64">
        <f ca="1">+O63-P63</f>
        <v>-101.53999999999996</v>
      </c>
      <c r="R63" s="2"/>
      <c r="S63" s="29">
        <f ca="1">S62-1</f>
        <v>2012</v>
      </c>
      <c r="T63" s="50">
        <f ca="1">AVERAGEIFS(Rates!E:E,Rates!F:F,'2013'!S63,Rates!G:G,"Industrial")</f>
        <v>0.68799999999999994</v>
      </c>
      <c r="U63" s="2"/>
    </row>
    <row r="64" spans="1:21" x14ac:dyDescent="0.25">
      <c r="B64" s="65"/>
      <c r="C64" s="65"/>
      <c r="D64" s="65"/>
      <c r="E64" s="53"/>
      <c r="F64" s="53"/>
      <c r="G64" s="53"/>
      <c r="H64" s="53"/>
      <c r="I64" s="53"/>
      <c r="J64" s="53"/>
      <c r="K64" s="53"/>
      <c r="L64" s="53">
        <f ca="1">L63/12</f>
        <v>75.759979997164876</v>
      </c>
      <c r="M64" s="53"/>
      <c r="N64" s="53"/>
      <c r="O64" s="53"/>
      <c r="P64" s="53"/>
      <c r="Q64" s="53"/>
      <c r="R64" s="2"/>
      <c r="S64" s="2"/>
      <c r="T64" s="2"/>
      <c r="U64" s="2"/>
    </row>
    <row r="65" spans="1:21" ht="15.75" thickBot="1" x14ac:dyDescent="0.3">
      <c r="A65" t="s">
        <v>20</v>
      </c>
      <c r="B65" s="66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67">
        <f ca="1">SUM(O30:O64)</f>
        <v>19023.88</v>
      </c>
      <c r="P65" s="67">
        <f ca="1">SUM(P30:P64)</f>
        <v>14872.3</v>
      </c>
      <c r="Q65" s="67">
        <f ca="1">SUM(Q30:Q64)</f>
        <v>4151.58</v>
      </c>
      <c r="R65" s="2"/>
      <c r="S65" s="2"/>
      <c r="T65" s="2"/>
      <c r="U65" s="2"/>
    </row>
    <row r="66" spans="1:21" ht="15.75" thickTop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R66" s="2"/>
      <c r="S66" s="2"/>
      <c r="T66" s="2"/>
      <c r="U66" s="2"/>
    </row>
    <row r="67" spans="1:2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R67" s="2"/>
      <c r="S67" s="2"/>
      <c r="T67" s="2"/>
      <c r="U67" s="2"/>
    </row>
    <row r="68" spans="1:2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R68" s="2"/>
      <c r="S68" s="2"/>
      <c r="T68" s="2"/>
      <c r="U68" s="2"/>
    </row>
    <row r="69" spans="1:21" x14ac:dyDescent="0.2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R69" s="2"/>
      <c r="S69" s="2"/>
      <c r="T69" s="2"/>
      <c r="U6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workbookViewId="0">
      <selection activeCell="B61" sqref="B61"/>
    </sheetView>
  </sheetViews>
  <sheetFormatPr defaultRowHeight="15" x14ac:dyDescent="0.25"/>
  <cols>
    <col min="1" max="1" width="33.5703125" customWidth="1"/>
    <col min="2" max="14" width="13.7109375" customWidth="1"/>
    <col min="15" max="17" width="13.7109375" style="1" customWidth="1"/>
    <col min="21" max="21" width="10.42578125" bestFit="1" customWidth="1"/>
  </cols>
  <sheetData>
    <row r="1" spans="1:21" x14ac:dyDescent="0.25">
      <c r="A1" t="s">
        <v>28</v>
      </c>
    </row>
    <row r="2" spans="1:21" x14ac:dyDescent="0.25">
      <c r="A2">
        <f ca="1">_xlfn.NUMBERVALUE(MID(CELL("filename",A1),FIND("]",CELL("filename",A1))+1,255))</f>
        <v>2014</v>
      </c>
    </row>
    <row r="4" spans="1:21" x14ac:dyDescent="0.25">
      <c r="L4" s="4">
        <f ca="1">A2</f>
        <v>2014</v>
      </c>
    </row>
    <row r="5" spans="1:21" x14ac:dyDescent="0.25">
      <c r="B5" s="4">
        <v>2011</v>
      </c>
      <c r="C5" s="4">
        <f>B5+1</f>
        <v>2012</v>
      </c>
      <c r="D5" s="4">
        <f>C5+1</f>
        <v>2013</v>
      </c>
      <c r="E5" s="4">
        <f t="shared" ref="E5:K5" si="0">D5+1</f>
        <v>2014</v>
      </c>
      <c r="F5" s="4">
        <f t="shared" si="0"/>
        <v>2015</v>
      </c>
      <c r="G5" s="4">
        <f t="shared" si="0"/>
        <v>2016</v>
      </c>
      <c r="H5" s="4">
        <f t="shared" si="0"/>
        <v>2017</v>
      </c>
      <c r="I5" s="4">
        <f t="shared" si="0"/>
        <v>2018</v>
      </c>
      <c r="J5" s="4">
        <f t="shared" si="0"/>
        <v>2019</v>
      </c>
      <c r="K5" s="4">
        <f t="shared" si="0"/>
        <v>2020</v>
      </c>
      <c r="L5" s="4" t="s">
        <v>15</v>
      </c>
      <c r="M5" t="s">
        <v>22</v>
      </c>
      <c r="N5" t="s">
        <v>16</v>
      </c>
      <c r="O5" s="9" t="s">
        <v>21</v>
      </c>
      <c r="P5" s="9" t="s">
        <v>22</v>
      </c>
    </row>
    <row r="6" spans="1:21" x14ac:dyDescent="0.25">
      <c r="A6" s="5" t="s">
        <v>11</v>
      </c>
      <c r="B6" s="5" t="str">
        <f ca="1">IF(B5&lt;$A$2,"Persistance",IF(B5=$A$2,"Current","N/A"))</f>
        <v>Persistance</v>
      </c>
      <c r="C6" s="5" t="str">
        <f t="shared" ref="C6:K6" ca="1" si="1">IF(C5&lt;$A$2,"Persistance",IF(C5=$A$2,"Current","N/A"))</f>
        <v>Persistance</v>
      </c>
      <c r="D6" s="5" t="str">
        <f t="shared" ca="1" si="1"/>
        <v>Persistance</v>
      </c>
      <c r="E6" s="5" t="str">
        <f t="shared" ca="1" si="1"/>
        <v>Current</v>
      </c>
      <c r="F6" s="5" t="str">
        <f t="shared" ca="1" si="1"/>
        <v>N/A</v>
      </c>
      <c r="G6" s="5" t="str">
        <f t="shared" ca="1" si="1"/>
        <v>N/A</v>
      </c>
      <c r="H6" s="5" t="str">
        <f t="shared" ca="1" si="1"/>
        <v>N/A</v>
      </c>
      <c r="I6" s="5" t="str">
        <f t="shared" ca="1" si="1"/>
        <v>N/A</v>
      </c>
      <c r="J6" s="5" t="str">
        <f t="shared" ca="1" si="1"/>
        <v>N/A</v>
      </c>
      <c r="K6" s="5" t="str">
        <f t="shared" ca="1" si="1"/>
        <v>N/A</v>
      </c>
      <c r="L6" s="5" t="s">
        <v>18</v>
      </c>
      <c r="M6" s="7" t="s">
        <v>18</v>
      </c>
      <c r="N6" s="7" t="s">
        <v>17</v>
      </c>
      <c r="O6" s="8" t="s">
        <v>23</v>
      </c>
      <c r="P6" s="8" t="s">
        <v>23</v>
      </c>
      <c r="Q6" s="8" t="s">
        <v>24</v>
      </c>
    </row>
    <row r="8" spans="1:21" x14ac:dyDescent="0.25">
      <c r="A8" t="s">
        <v>68</v>
      </c>
      <c r="B8" s="51">
        <f ca="1">SUMIFS(OFFSET(Persistance!$K:$K,0,$A$2-Persistance!$K$1),Persistance!$B:$B,$A8,Persistance!$D:$D,B$5,Persistance!$A:$A,"Consumer")*1000</f>
        <v>0</v>
      </c>
      <c r="C8" s="51">
        <f ca="1">SUMIFS(OFFSET(Persistance!$K:$K,0,$A$2-Persistance!$K$1),Persistance!$B:$B,$A8,Persistance!$D:$D,C$5,Persistance!$A:$A,"Consumer")*1000</f>
        <v>0</v>
      </c>
      <c r="D8" s="51">
        <f ca="1">SUMIFS(OFFSET(Persistance!$K:$K,0,$A$2-Persistance!$K$1),Persistance!$B:$B,$A8,Persistance!$D:$D,D$5,Persistance!$A:$A,"Consumer")*1000</f>
        <v>0</v>
      </c>
      <c r="E8" s="51">
        <f ca="1">SUMIFS(OFFSET(Persistance!$K:$K,0,$A$2-Persistance!$K$1),Persistance!$B:$B,$A8,Persistance!$D:$D,E$5,Persistance!$A:$A,"Consumer")*1000</f>
        <v>0</v>
      </c>
      <c r="F8" s="51">
        <f ca="1">SUMIFS(OFFSET(Persistance!$K:$K,0,$A$2-Persistance!$K$1),Persistance!$B:$B,$A8,Persistance!$D:$D,F$5,Persistance!$A:$A,"Consumer")*1000</f>
        <v>0</v>
      </c>
      <c r="G8" s="51">
        <f ca="1">SUMIFS(OFFSET(Persistance!$K:$K,0,$A$2-Persistance!$K$1),Persistance!$B:$B,$A8,Persistance!$D:$D,G$5,Persistance!$A:$A,"Consumer")*1000</f>
        <v>0</v>
      </c>
      <c r="H8" s="51">
        <f ca="1">SUMIFS(OFFSET(Persistance!$K:$K,0,$A$2-Persistance!$K$1),Persistance!$B:$B,$A8,Persistance!$D:$D,H$5,Persistance!$A:$A,"Consumer")*1000</f>
        <v>0</v>
      </c>
      <c r="I8" s="51">
        <f ca="1">SUMIFS(OFFSET(Persistance!$K:$K,0,$A$2-Persistance!$K$1),Persistance!$B:$B,$A8,Persistance!$D:$D,I$5,Persistance!$A:$A,"Consumer")*1000</f>
        <v>0</v>
      </c>
      <c r="J8" s="51">
        <f ca="1">SUMIFS(OFFSET(Persistance!$K:$K,0,$A$2-Persistance!$K$1),Persistance!$B:$B,$A8,Persistance!$D:$D,J$5,Persistance!$A:$A,"Consumer")*1000</f>
        <v>0</v>
      </c>
      <c r="K8" s="51">
        <f ca="1">SUMIFS(OFFSET(Persistance!$K:$K,0,$A$2-Persistance!$K$1),Persistance!$B:$B,$A8,Persistance!$D:$D,K$5,Persistance!$A:$A,"Consumer")*1000</f>
        <v>0</v>
      </c>
      <c r="L8" s="34">
        <f ca="1">SUM(B8:K8)</f>
        <v>0</v>
      </c>
      <c r="M8" s="34"/>
      <c r="N8" s="35"/>
      <c r="O8" s="36"/>
      <c r="P8" s="36"/>
      <c r="Q8" s="36"/>
      <c r="R8" s="2"/>
      <c r="U8" s="2"/>
    </row>
    <row r="9" spans="1:21" x14ac:dyDescent="0.25">
      <c r="A9" t="s">
        <v>74</v>
      </c>
      <c r="B9" s="51">
        <f ca="1">SUMIFS(OFFSET(Persistance!$K:$K,0,$A$2-Persistance!$K$1),Persistance!$B:$B,$A9,Persistance!$D:$D,B$5,Persistance!$A:$A,"Consumer")*1000</f>
        <v>0</v>
      </c>
      <c r="C9" s="51">
        <f ca="1">SUMIFS(OFFSET(Persistance!$K:$K,0,$A$2-Persistance!$K$1),Persistance!$B:$B,$A9,Persistance!$D:$D,C$5,Persistance!$A:$A,"Consumer")*1000</f>
        <v>0</v>
      </c>
      <c r="D9" s="51">
        <f ca="1">SUMIFS(OFFSET(Persistance!$K:$K,0,$A$2-Persistance!$K$1),Persistance!$B:$B,$A9,Persistance!$D:$D,D$5,Persistance!$A:$A,"Consumer")*1000</f>
        <v>8180.8807287030004</v>
      </c>
      <c r="E9" s="51">
        <f ca="1">SUMIFS(OFFSET(Persistance!$K:$K,0,$A$2-Persistance!$K$1),Persistance!$B:$B,$A9,Persistance!$D:$D,E$5,Persistance!$A:$A,"Consumer")*1000</f>
        <v>0</v>
      </c>
      <c r="F9" s="51">
        <f ca="1">SUMIFS(OFFSET(Persistance!$K:$K,0,$A$2-Persistance!$K$1),Persistance!$B:$B,$A9,Persistance!$D:$D,F$5,Persistance!$A:$A,"Consumer")*1000</f>
        <v>0</v>
      </c>
      <c r="G9" s="51">
        <f ca="1">SUMIFS(OFFSET(Persistance!$K:$K,0,$A$2-Persistance!$K$1),Persistance!$B:$B,$A9,Persistance!$D:$D,G$5,Persistance!$A:$A,"Consumer")*1000</f>
        <v>0</v>
      </c>
      <c r="H9" s="51">
        <f ca="1">SUMIFS(OFFSET(Persistance!$K:$K,0,$A$2-Persistance!$K$1),Persistance!$B:$B,$A9,Persistance!$D:$D,H$5,Persistance!$A:$A,"Consumer")*1000</f>
        <v>0</v>
      </c>
      <c r="I9" s="51">
        <f ca="1">SUMIFS(OFFSET(Persistance!$K:$K,0,$A$2-Persistance!$K$1),Persistance!$B:$B,$A9,Persistance!$D:$D,I$5,Persistance!$A:$A,"Consumer")*1000</f>
        <v>0</v>
      </c>
      <c r="J9" s="51">
        <f ca="1">SUMIFS(OFFSET(Persistance!$K:$K,0,$A$2-Persistance!$K$1),Persistance!$B:$B,$A9,Persistance!$D:$D,J$5,Persistance!$A:$A,"Consumer")*1000</f>
        <v>0</v>
      </c>
      <c r="K9" s="51">
        <f ca="1">SUMIFS(OFFSET(Persistance!$K:$K,0,$A$2-Persistance!$K$1),Persistance!$B:$B,$A9,Persistance!$D:$D,K$5,Persistance!$A:$A,"Consumer")*1000</f>
        <v>0</v>
      </c>
      <c r="L9" s="34">
        <f t="shared" ref="L9:L28" ca="1" si="2">SUM(B9:K9)</f>
        <v>8180.8807287030004</v>
      </c>
      <c r="M9" s="34"/>
      <c r="N9" s="35"/>
      <c r="O9" s="36"/>
      <c r="P9" s="36"/>
      <c r="Q9" s="36"/>
      <c r="R9" s="2"/>
      <c r="S9" s="2"/>
      <c r="T9" s="2"/>
      <c r="U9" s="2"/>
    </row>
    <row r="10" spans="1:21" x14ac:dyDescent="0.25">
      <c r="A10" t="s">
        <v>1</v>
      </c>
      <c r="B10" s="51">
        <f ca="1">SUMIFS(OFFSET(Persistance!$K:$K,0,$A$2-Persistance!$K$1),Persistance!$B:$B,$A10,Persistance!$D:$D,B$5,Persistance!$A:$A,"Consumer")*1000</f>
        <v>590.14234240573285</v>
      </c>
      <c r="C10" s="51">
        <f ca="1">SUMIFS(OFFSET(Persistance!$K:$K,0,$A$2-Persistance!$K$1),Persistance!$B:$B,$A10,Persistance!$D:$D,C$5,Persistance!$A:$A,"Consumer")*1000</f>
        <v>2297.792195821457</v>
      </c>
      <c r="D10" s="51">
        <f ca="1">SUMIFS(OFFSET(Persistance!$K:$K,0,$A$2-Persistance!$K$1),Persistance!$B:$B,$A10,Persistance!$D:$D,D$5,Persistance!$A:$A,"Consumer")*1000</f>
        <v>369.43987800000002</v>
      </c>
      <c r="E10" s="51">
        <f ca="1">SUMIFS(OFFSET(Persistance!$K:$K,0,$A$2-Persistance!$K$1),Persistance!$B:$B,$A10,Persistance!$D:$D,E$5,Persistance!$A:$A,"Consumer")*1000</f>
        <v>738.87975589999996</v>
      </c>
      <c r="F10" s="51">
        <f ca="1">SUMIFS(OFFSET(Persistance!$K:$K,0,$A$2-Persistance!$K$1),Persistance!$B:$B,$A10,Persistance!$D:$D,F$5,Persistance!$A:$A,"Consumer")*1000</f>
        <v>0</v>
      </c>
      <c r="G10" s="51">
        <f ca="1">SUMIFS(OFFSET(Persistance!$K:$K,0,$A$2-Persistance!$K$1),Persistance!$B:$B,$A10,Persistance!$D:$D,G$5,Persistance!$A:$A,"Consumer")*1000</f>
        <v>0</v>
      </c>
      <c r="H10" s="51">
        <f ca="1">SUMIFS(OFFSET(Persistance!$K:$K,0,$A$2-Persistance!$K$1),Persistance!$B:$B,$A10,Persistance!$D:$D,H$5,Persistance!$A:$A,"Consumer")*1000</f>
        <v>0</v>
      </c>
      <c r="I10" s="51">
        <f ca="1">SUMIFS(OFFSET(Persistance!$K:$K,0,$A$2-Persistance!$K$1),Persistance!$B:$B,$A10,Persistance!$D:$D,I$5,Persistance!$A:$A,"Consumer")*1000</f>
        <v>0</v>
      </c>
      <c r="J10" s="51">
        <f ca="1">SUMIFS(OFFSET(Persistance!$K:$K,0,$A$2-Persistance!$K$1),Persistance!$B:$B,$A10,Persistance!$D:$D,J$5,Persistance!$A:$A,"Consumer")*1000</f>
        <v>0</v>
      </c>
      <c r="K10" s="51">
        <f ca="1">SUMIFS(OFFSET(Persistance!$K:$K,0,$A$2-Persistance!$K$1),Persistance!$B:$B,$A10,Persistance!$D:$D,K$5,Persistance!$A:$A,"Consumer")*1000</f>
        <v>0</v>
      </c>
      <c r="L10" s="34">
        <f t="shared" ca="1" si="2"/>
        <v>3996.25417212719</v>
      </c>
      <c r="M10" s="34"/>
      <c r="N10" s="35"/>
      <c r="O10" s="36"/>
      <c r="P10" s="36"/>
      <c r="Q10" s="36"/>
      <c r="R10" s="2"/>
      <c r="S10" s="2"/>
      <c r="T10" s="2"/>
      <c r="U10" s="2"/>
    </row>
    <row r="11" spans="1:21" x14ac:dyDescent="0.25">
      <c r="A11" t="s">
        <v>0</v>
      </c>
      <c r="B11" s="51">
        <f ca="1">SUMIFS(OFFSET(Persistance!$K:$K,0,$A$2-Persistance!$K$1),Persistance!$B:$B,$A11,Persistance!$D:$D,B$5,Persistance!$A:$A,"Consumer")*1000</f>
        <v>28517.365912172569</v>
      </c>
      <c r="C11" s="51">
        <f ca="1">SUMIFS(OFFSET(Persistance!$K:$K,0,$A$2-Persistance!$K$1),Persistance!$B:$B,$A11,Persistance!$D:$D,C$5,Persistance!$A:$A,"Consumer")*1000</f>
        <v>15584.638286646952</v>
      </c>
      <c r="D11" s="51">
        <f ca="1">SUMIFS(OFFSET(Persistance!$K:$K,0,$A$2-Persistance!$K$1),Persistance!$B:$B,$A11,Persistance!$D:$D,D$5,Persistance!$A:$A,"Consumer")*1000</f>
        <v>11768.694884189692</v>
      </c>
      <c r="E11" s="51">
        <f ca="1">SUMIFS(OFFSET(Persistance!$K:$K,0,$A$2-Persistance!$K$1),Persistance!$B:$B,$A11,Persistance!$D:$D,E$5,Persistance!$A:$A,"Consumer")*1000</f>
        <v>14541.744209640265</v>
      </c>
      <c r="F11" s="51">
        <f ca="1">SUMIFS(OFFSET(Persistance!$K:$K,0,$A$2-Persistance!$K$1),Persistance!$B:$B,$A11,Persistance!$D:$D,F$5,Persistance!$A:$A,"Consumer")*1000</f>
        <v>0</v>
      </c>
      <c r="G11" s="51">
        <f ca="1">SUMIFS(OFFSET(Persistance!$K:$K,0,$A$2-Persistance!$K$1),Persistance!$B:$B,$A11,Persistance!$D:$D,G$5,Persistance!$A:$A,"Consumer")*1000</f>
        <v>0</v>
      </c>
      <c r="H11" s="51">
        <f ca="1">SUMIFS(OFFSET(Persistance!$K:$K,0,$A$2-Persistance!$K$1),Persistance!$B:$B,$A11,Persistance!$D:$D,H$5,Persistance!$A:$A,"Consumer")*1000</f>
        <v>0</v>
      </c>
      <c r="I11" s="51">
        <f ca="1">SUMIFS(OFFSET(Persistance!$K:$K,0,$A$2-Persistance!$K$1),Persistance!$B:$B,$A11,Persistance!$D:$D,I$5,Persistance!$A:$A,"Consumer")*1000</f>
        <v>0</v>
      </c>
      <c r="J11" s="51">
        <f ca="1">SUMIFS(OFFSET(Persistance!$K:$K,0,$A$2-Persistance!$K$1),Persistance!$B:$B,$A11,Persistance!$D:$D,J$5,Persistance!$A:$A,"Consumer")*1000</f>
        <v>0</v>
      </c>
      <c r="K11" s="51">
        <f ca="1">SUMIFS(OFFSET(Persistance!$K:$K,0,$A$2-Persistance!$K$1),Persistance!$B:$B,$A11,Persistance!$D:$D,K$5,Persistance!$A:$A,"Consumer")*1000</f>
        <v>0</v>
      </c>
      <c r="L11" s="34">
        <f t="shared" ca="1" si="2"/>
        <v>70412.443292649477</v>
      </c>
      <c r="M11" s="34"/>
      <c r="N11" s="35"/>
      <c r="O11" s="36"/>
      <c r="P11" s="36"/>
      <c r="Q11" s="36"/>
      <c r="R11" s="2"/>
      <c r="S11" s="2"/>
      <c r="T11" s="2"/>
      <c r="U11" s="2"/>
    </row>
    <row r="12" spans="1:21" x14ac:dyDescent="0.25">
      <c r="A12" t="s">
        <v>53</v>
      </c>
      <c r="B12" s="51">
        <f ca="1">SUMIFS(OFFSET(Persistance!$K:$K,0,$A$2-Persistance!$K$1),Persistance!$B:$B,$A12,Persistance!$D:$D,B$5,Persistance!$A:$A,"Consumer")*1000</f>
        <v>0</v>
      </c>
      <c r="C12" s="51">
        <f ca="1">SUMIFS(OFFSET(Persistance!$K:$K,0,$A$2-Persistance!$K$1),Persistance!$B:$B,$A12,Persistance!$D:$D,C$5,Persistance!$A:$A,"Consumer")*1000</f>
        <v>0</v>
      </c>
      <c r="D12" s="51">
        <f ca="1">SUMIFS(OFFSET(Persistance!$K:$K,0,$A$2-Persistance!$K$1),Persistance!$B:$B,$A12,Persistance!$D:$D,D$5,Persistance!$A:$A,"Consumer")*1000</f>
        <v>0</v>
      </c>
      <c r="E12" s="51">
        <f ca="1">SUMIFS(OFFSET(Persistance!$K:$K,0,$A$2-Persistance!$K$1),Persistance!$B:$B,$A12,Persistance!$D:$D,E$5,Persistance!$A:$A,"Consumer")*1000</f>
        <v>0</v>
      </c>
      <c r="F12" s="51">
        <f ca="1">SUMIFS(OFFSET(Persistance!$K:$K,0,$A$2-Persistance!$K$1),Persistance!$B:$B,$A12,Persistance!$D:$D,F$5,Persistance!$A:$A,"Consumer")*1000</f>
        <v>0</v>
      </c>
      <c r="G12" s="51">
        <f ca="1">SUMIFS(OFFSET(Persistance!$K:$K,0,$A$2-Persistance!$K$1),Persistance!$B:$B,$A12,Persistance!$D:$D,G$5,Persistance!$A:$A,"Consumer")*1000</f>
        <v>0</v>
      </c>
      <c r="H12" s="51">
        <f ca="1">SUMIFS(OFFSET(Persistance!$K:$K,0,$A$2-Persistance!$K$1),Persistance!$B:$B,$A12,Persistance!$D:$D,H$5,Persistance!$A:$A,"Consumer")*1000</f>
        <v>0</v>
      </c>
      <c r="I12" s="51">
        <f ca="1">SUMIFS(OFFSET(Persistance!$K:$K,0,$A$2-Persistance!$K$1),Persistance!$B:$B,$A12,Persistance!$D:$D,I$5,Persistance!$A:$A,"Consumer")*1000</f>
        <v>0</v>
      </c>
      <c r="J12" s="51">
        <f ca="1">SUMIFS(OFFSET(Persistance!$K:$K,0,$A$2-Persistance!$K$1),Persistance!$B:$B,$A12,Persistance!$D:$D,J$5,Persistance!$A:$A,"Consumer")*1000</f>
        <v>0</v>
      </c>
      <c r="K12" s="51">
        <f ca="1">SUMIFS(OFFSET(Persistance!$K:$K,0,$A$2-Persistance!$K$1),Persistance!$B:$B,$A12,Persistance!$D:$D,K$5,Persistance!$A:$A,"Consumer")*1000</f>
        <v>0</v>
      </c>
      <c r="L12" s="34">
        <f t="shared" ca="1" si="2"/>
        <v>0</v>
      </c>
      <c r="M12" s="34"/>
      <c r="N12" s="35"/>
      <c r="O12" s="36"/>
      <c r="P12" s="36"/>
      <c r="Q12" s="36"/>
      <c r="R12" s="2"/>
      <c r="S12" s="2"/>
      <c r="T12" s="2"/>
      <c r="U12" s="2"/>
    </row>
    <row r="13" spans="1:21" x14ac:dyDescent="0.25">
      <c r="A13" t="s">
        <v>4</v>
      </c>
      <c r="B13" s="51">
        <f ca="1">SUMIFS(OFFSET(Persistance!$K:$K,0,$A$2-Persistance!$K$1),Persistance!$B:$B,$A13,Persistance!$D:$D,B$5,Persistance!$A:$A,"Consumer")*1000</f>
        <v>33509.567265749611</v>
      </c>
      <c r="C13" s="51">
        <f ca="1">SUMIFS(OFFSET(Persistance!$K:$K,0,$A$2-Persistance!$K$1),Persistance!$B:$B,$A13,Persistance!$D:$D,C$5,Persistance!$A:$A,"Consumer")*1000</f>
        <v>28426.28731595966</v>
      </c>
      <c r="D13" s="51">
        <f ca="1">SUMIFS(OFFSET(Persistance!$K:$K,0,$A$2-Persistance!$K$1),Persistance!$B:$B,$A13,Persistance!$D:$D,D$5,Persistance!$A:$A,"Consumer")*1000</f>
        <v>0</v>
      </c>
      <c r="E13" s="51">
        <f ca="1">SUMIFS(OFFSET(Persistance!$K:$K,0,$A$2-Persistance!$K$1),Persistance!$B:$B,$A13,Persistance!$D:$D,E$5,Persistance!$A:$A,"Consumer")*1000</f>
        <v>130450.00060000001</v>
      </c>
      <c r="F13" s="51">
        <f ca="1">SUMIFS(OFFSET(Persistance!$K:$K,0,$A$2-Persistance!$K$1),Persistance!$B:$B,$A13,Persistance!$D:$D,F$5,Persistance!$A:$A,"Consumer")*1000</f>
        <v>0</v>
      </c>
      <c r="G13" s="51">
        <f ca="1">SUMIFS(OFFSET(Persistance!$K:$K,0,$A$2-Persistance!$K$1),Persistance!$B:$B,$A13,Persistance!$D:$D,G$5,Persistance!$A:$A,"Consumer")*1000</f>
        <v>0</v>
      </c>
      <c r="H13" s="51">
        <f ca="1">SUMIFS(OFFSET(Persistance!$K:$K,0,$A$2-Persistance!$K$1),Persistance!$B:$B,$A13,Persistance!$D:$D,H$5,Persistance!$A:$A,"Consumer")*1000</f>
        <v>0</v>
      </c>
      <c r="I13" s="51">
        <f ca="1">SUMIFS(OFFSET(Persistance!$K:$K,0,$A$2-Persistance!$K$1),Persistance!$B:$B,$A13,Persistance!$D:$D,I$5,Persistance!$A:$A,"Consumer")*1000</f>
        <v>0</v>
      </c>
      <c r="J13" s="51">
        <f ca="1">SUMIFS(OFFSET(Persistance!$K:$K,0,$A$2-Persistance!$K$1),Persistance!$B:$B,$A13,Persistance!$D:$D,J$5,Persistance!$A:$A,"Consumer")*1000</f>
        <v>0</v>
      </c>
      <c r="K13" s="51">
        <f ca="1">SUMIFS(OFFSET(Persistance!$K:$K,0,$A$2-Persistance!$K$1),Persistance!$B:$B,$A13,Persistance!$D:$D,K$5,Persistance!$A:$A,"Consumer")*1000</f>
        <v>0</v>
      </c>
      <c r="L13" s="34">
        <f t="shared" ca="1" si="2"/>
        <v>192385.85518170928</v>
      </c>
      <c r="M13" s="34"/>
      <c r="N13" s="35"/>
      <c r="O13" s="36"/>
      <c r="P13" s="36"/>
      <c r="Q13" s="36"/>
      <c r="R13" s="2"/>
      <c r="S13" s="2"/>
      <c r="T13" s="2"/>
      <c r="U13" s="2"/>
    </row>
    <row r="14" spans="1:21" x14ac:dyDescent="0.25">
      <c r="A14" t="s">
        <v>52</v>
      </c>
      <c r="B14" s="51">
        <f ca="1">SUMIFS(OFFSET(Persistance!$K:$K,0,$A$2-Persistance!$K$1),Persistance!$B:$B,$A14,Persistance!$D:$D,B$5,Persistance!$A:$A,"Consumer")*1000</f>
        <v>0</v>
      </c>
      <c r="C14" s="51">
        <f ca="1">SUMIFS(OFFSET(Persistance!$K:$K,0,$A$2-Persistance!$K$1),Persistance!$B:$B,$A14,Persistance!$D:$D,C$5,Persistance!$A:$A,"Consumer")*1000</f>
        <v>0</v>
      </c>
      <c r="D14" s="51">
        <f ca="1">SUMIFS(OFFSET(Persistance!$K:$K,0,$A$2-Persistance!$K$1),Persistance!$B:$B,$A14,Persistance!$D:$D,D$5,Persistance!$A:$A,"Consumer")*1000</f>
        <v>0</v>
      </c>
      <c r="E14" s="51">
        <f ca="1">SUMIFS(OFFSET(Persistance!$K:$K,0,$A$2-Persistance!$K$1),Persistance!$B:$B,$A14,Persistance!$D:$D,E$5,Persistance!$A:$A,"Consumer")*1000</f>
        <v>0</v>
      </c>
      <c r="F14" s="51">
        <f ca="1">SUMIFS(OFFSET(Persistance!$K:$K,0,$A$2-Persistance!$K$1),Persistance!$B:$B,$A14,Persistance!$D:$D,F$5,Persistance!$A:$A,"Consumer")*1000</f>
        <v>0</v>
      </c>
      <c r="G14" s="51">
        <f ca="1">SUMIFS(OFFSET(Persistance!$K:$K,0,$A$2-Persistance!$K$1),Persistance!$B:$B,$A14,Persistance!$D:$D,G$5,Persistance!$A:$A,"Consumer")*1000</f>
        <v>0</v>
      </c>
      <c r="H14" s="51">
        <f ca="1">SUMIFS(OFFSET(Persistance!$K:$K,0,$A$2-Persistance!$K$1),Persistance!$B:$B,$A14,Persistance!$D:$D,H$5,Persistance!$A:$A,"Consumer")*1000</f>
        <v>0</v>
      </c>
      <c r="I14" s="51">
        <f ca="1">SUMIFS(OFFSET(Persistance!$K:$K,0,$A$2-Persistance!$K$1),Persistance!$B:$B,$A14,Persistance!$D:$D,I$5,Persistance!$A:$A,"Consumer")*1000</f>
        <v>0</v>
      </c>
      <c r="J14" s="51">
        <f ca="1">SUMIFS(OFFSET(Persistance!$K:$K,0,$A$2-Persistance!$K$1),Persistance!$B:$B,$A14,Persistance!$D:$D,J$5,Persistance!$A:$A,"Consumer")*1000</f>
        <v>0</v>
      </c>
      <c r="K14" s="51">
        <f ca="1">SUMIFS(OFFSET(Persistance!$K:$K,0,$A$2-Persistance!$K$1),Persistance!$B:$B,$A14,Persistance!$D:$D,K$5,Persistance!$A:$A,"Consumer")*1000</f>
        <v>0</v>
      </c>
      <c r="L14" s="34">
        <f t="shared" ca="1" si="2"/>
        <v>0</v>
      </c>
      <c r="M14" s="34"/>
      <c r="N14" s="35"/>
      <c r="O14" s="36"/>
      <c r="P14" s="36"/>
      <c r="Q14" s="36"/>
      <c r="R14" s="2"/>
      <c r="S14" s="2"/>
      <c r="T14" s="2"/>
      <c r="U14" s="2"/>
    </row>
    <row r="15" spans="1:21" x14ac:dyDescent="0.25">
      <c r="A15" t="s">
        <v>75</v>
      </c>
      <c r="B15" s="51">
        <f ca="1">SUMIFS(OFFSET(Persistance!$K:$K,0,$A$2-Persistance!$K$1),Persistance!$B:$B,$A15,Persistance!$D:$D,B$5,Persistance!$A:$A,"Consumer")*1000</f>
        <v>0</v>
      </c>
      <c r="C15" s="51">
        <f ca="1">SUMIFS(OFFSET(Persistance!$K:$K,0,$A$2-Persistance!$K$1),Persistance!$B:$B,$A15,Persistance!$D:$D,C$5,Persistance!$A:$A,"Consumer")*1000</f>
        <v>0</v>
      </c>
      <c r="D15" s="51">
        <f ca="1">SUMIFS(OFFSET(Persistance!$K:$K,0,$A$2-Persistance!$K$1),Persistance!$B:$B,$A15,Persistance!$D:$D,D$5,Persistance!$A:$A,"Consumer")*1000</f>
        <v>18234.823176065001</v>
      </c>
      <c r="E15" s="51">
        <f ca="1">SUMIFS(OFFSET(Persistance!$K:$K,0,$A$2-Persistance!$K$1),Persistance!$B:$B,$A15,Persistance!$D:$D,E$5,Persistance!$A:$A,"Consumer")*1000</f>
        <v>0</v>
      </c>
      <c r="F15" s="51">
        <f ca="1">SUMIFS(OFFSET(Persistance!$K:$K,0,$A$2-Persistance!$K$1),Persistance!$B:$B,$A15,Persistance!$D:$D,F$5,Persistance!$A:$A,"Consumer")*1000</f>
        <v>0</v>
      </c>
      <c r="G15" s="51">
        <f ca="1">SUMIFS(OFFSET(Persistance!$K:$K,0,$A$2-Persistance!$K$1),Persistance!$B:$B,$A15,Persistance!$D:$D,G$5,Persistance!$A:$A,"Consumer")*1000</f>
        <v>0</v>
      </c>
      <c r="H15" s="51">
        <f ca="1">SUMIFS(OFFSET(Persistance!$K:$K,0,$A$2-Persistance!$K$1),Persistance!$B:$B,$A15,Persistance!$D:$D,H$5,Persistance!$A:$A,"Consumer")*1000</f>
        <v>0</v>
      </c>
      <c r="I15" s="51">
        <f ca="1">SUMIFS(OFFSET(Persistance!$K:$K,0,$A$2-Persistance!$K$1),Persistance!$B:$B,$A15,Persistance!$D:$D,I$5,Persistance!$A:$A,"Consumer")*1000</f>
        <v>0</v>
      </c>
      <c r="J15" s="51">
        <f ca="1">SUMIFS(OFFSET(Persistance!$K:$K,0,$A$2-Persistance!$K$1),Persistance!$B:$B,$A15,Persistance!$D:$D,J$5,Persistance!$A:$A,"Consumer")*1000</f>
        <v>0</v>
      </c>
      <c r="K15" s="51">
        <f ca="1">SUMIFS(OFFSET(Persistance!$K:$K,0,$A$2-Persistance!$K$1),Persistance!$B:$B,$A15,Persistance!$D:$D,K$5,Persistance!$A:$A,"Consumer")*1000</f>
        <v>0</v>
      </c>
      <c r="L15" s="34">
        <f t="shared" ca="1" si="2"/>
        <v>18234.823176065001</v>
      </c>
      <c r="M15" s="34"/>
      <c r="N15" s="35"/>
      <c r="O15" s="36"/>
      <c r="P15" s="36"/>
      <c r="Q15" s="36"/>
      <c r="R15" s="2"/>
      <c r="S15" s="2"/>
      <c r="T15" s="2"/>
      <c r="U15" s="2"/>
    </row>
    <row r="16" spans="1:21" x14ac:dyDescent="0.25">
      <c r="A16" t="s">
        <v>3</v>
      </c>
      <c r="B16" s="51">
        <f ca="1">SUMIFS(OFFSET(Persistance!$K:$K,0,$A$2-Persistance!$K$1),Persistance!$B:$B,$A16,Persistance!$D:$D,B$5,Persistance!$A:$A,"Consumer")*1000</f>
        <v>20550.910292421315</v>
      </c>
      <c r="C16" s="51">
        <f ca="1">SUMIFS(OFFSET(Persistance!$K:$K,0,$A$2-Persistance!$K$1),Persistance!$B:$B,$A16,Persistance!$D:$D,C$5,Persistance!$A:$A,"Consumer")*1000</f>
        <v>1484.0628416218267</v>
      </c>
      <c r="D16" s="51">
        <f ca="1">SUMIFS(OFFSET(Persistance!$K:$K,0,$A$2-Persistance!$K$1),Persistance!$B:$B,$A16,Persistance!$D:$D,D$5,Persistance!$A:$A,"Consumer")*1000</f>
        <v>25</v>
      </c>
      <c r="E16" s="51">
        <f ca="1">SUMIFS(OFFSET(Persistance!$K:$K,0,$A$2-Persistance!$K$1),Persistance!$B:$B,$A16,Persistance!$D:$D,E$5,Persistance!$A:$A,"Consumer")*1000</f>
        <v>30293.809069999999</v>
      </c>
      <c r="F16" s="51">
        <f ca="1">SUMIFS(OFFSET(Persistance!$K:$K,0,$A$2-Persistance!$K$1),Persistance!$B:$B,$A16,Persistance!$D:$D,F$5,Persistance!$A:$A,"Consumer")*1000</f>
        <v>0</v>
      </c>
      <c r="G16" s="51">
        <f ca="1">SUMIFS(OFFSET(Persistance!$K:$K,0,$A$2-Persistance!$K$1),Persistance!$B:$B,$A16,Persistance!$D:$D,G$5,Persistance!$A:$A,"Consumer")*1000</f>
        <v>0</v>
      </c>
      <c r="H16" s="51">
        <f ca="1">SUMIFS(OFFSET(Persistance!$K:$K,0,$A$2-Persistance!$K$1),Persistance!$B:$B,$A16,Persistance!$D:$D,H$5,Persistance!$A:$A,"Consumer")*1000</f>
        <v>0</v>
      </c>
      <c r="I16" s="51">
        <f ca="1">SUMIFS(OFFSET(Persistance!$K:$K,0,$A$2-Persistance!$K$1),Persistance!$B:$B,$A16,Persistance!$D:$D,I$5,Persistance!$A:$A,"Consumer")*1000</f>
        <v>0</v>
      </c>
      <c r="J16" s="51">
        <f ca="1">SUMIFS(OFFSET(Persistance!$K:$K,0,$A$2-Persistance!$K$1),Persistance!$B:$B,$A16,Persistance!$D:$D,J$5,Persistance!$A:$A,"Consumer")*1000</f>
        <v>0</v>
      </c>
      <c r="K16" s="51">
        <f ca="1">SUMIFS(OFFSET(Persistance!$K:$K,0,$A$2-Persistance!$K$1),Persistance!$B:$B,$A16,Persistance!$D:$D,K$5,Persistance!$A:$A,"Consumer")*1000</f>
        <v>0</v>
      </c>
      <c r="L16" s="34">
        <f t="shared" ca="1" si="2"/>
        <v>52353.782204043142</v>
      </c>
      <c r="M16" s="34"/>
      <c r="N16" s="35"/>
      <c r="O16" s="36"/>
      <c r="P16" s="36"/>
      <c r="Q16" s="36"/>
      <c r="R16" s="2"/>
      <c r="S16" s="2"/>
      <c r="T16" s="2"/>
      <c r="U16" s="2"/>
    </row>
    <row r="17" spans="1:21" x14ac:dyDescent="0.25">
      <c r="A17" t="s">
        <v>51</v>
      </c>
      <c r="B17" s="51">
        <f ca="1">SUMIFS(OFFSET(Persistance!$K:$K,0,$A$2-Persistance!$K$1),Persistance!$B:$B,$A17,Persistance!$D:$D,B$5,Persistance!$A:$A,"Consumer")*1000</f>
        <v>0</v>
      </c>
      <c r="C17" s="51">
        <f ca="1">SUMIFS(OFFSET(Persistance!$K:$K,0,$A$2-Persistance!$K$1),Persistance!$B:$B,$A17,Persistance!$D:$D,C$5,Persistance!$A:$A,"Consumer")*1000</f>
        <v>0</v>
      </c>
      <c r="D17" s="51">
        <f ca="1">SUMIFS(OFFSET(Persistance!$K:$K,0,$A$2-Persistance!$K$1),Persistance!$B:$B,$A17,Persistance!$D:$D,D$5,Persistance!$A:$A,"Consumer")*1000</f>
        <v>0</v>
      </c>
      <c r="E17" s="51">
        <f ca="1">SUMIFS(OFFSET(Persistance!$K:$K,0,$A$2-Persistance!$K$1),Persistance!$B:$B,$A17,Persistance!$D:$D,E$5,Persistance!$A:$A,"Consumer")*1000</f>
        <v>0</v>
      </c>
      <c r="F17" s="51">
        <f ca="1">SUMIFS(OFFSET(Persistance!$K:$K,0,$A$2-Persistance!$K$1),Persistance!$B:$B,$A17,Persistance!$D:$D,F$5,Persistance!$A:$A,"Consumer")*1000</f>
        <v>0</v>
      </c>
      <c r="G17" s="51">
        <f ca="1">SUMIFS(OFFSET(Persistance!$K:$K,0,$A$2-Persistance!$K$1),Persistance!$B:$B,$A17,Persistance!$D:$D,G$5,Persistance!$A:$A,"Consumer")*1000</f>
        <v>0</v>
      </c>
      <c r="H17" s="51">
        <f ca="1">SUMIFS(OFFSET(Persistance!$K:$K,0,$A$2-Persistance!$K$1),Persistance!$B:$B,$A17,Persistance!$D:$D,H$5,Persistance!$A:$A,"Consumer")*1000</f>
        <v>0</v>
      </c>
      <c r="I17" s="51">
        <f ca="1">SUMIFS(OFFSET(Persistance!$K:$K,0,$A$2-Persistance!$K$1),Persistance!$B:$B,$A17,Persistance!$D:$D,I$5,Persistance!$A:$A,"Consumer")*1000</f>
        <v>0</v>
      </c>
      <c r="J17" s="51">
        <f ca="1">SUMIFS(OFFSET(Persistance!$K:$K,0,$A$2-Persistance!$K$1),Persistance!$B:$B,$A17,Persistance!$D:$D,J$5,Persistance!$A:$A,"Consumer")*1000</f>
        <v>0</v>
      </c>
      <c r="K17" s="51">
        <f ca="1">SUMIFS(OFFSET(Persistance!$K:$K,0,$A$2-Persistance!$K$1),Persistance!$B:$B,$A17,Persistance!$D:$D,K$5,Persistance!$A:$A,"Consumer")*1000</f>
        <v>0</v>
      </c>
      <c r="L17" s="34">
        <f t="shared" ca="1" si="2"/>
        <v>0</v>
      </c>
      <c r="M17" s="34"/>
      <c r="N17" s="35"/>
      <c r="O17" s="36"/>
      <c r="P17" s="36"/>
      <c r="Q17" s="36"/>
      <c r="R17" s="2"/>
      <c r="S17" s="2"/>
      <c r="T17" s="2"/>
      <c r="U17" s="2"/>
    </row>
    <row r="18" spans="1:21" x14ac:dyDescent="0.25">
      <c r="A18" t="s">
        <v>6</v>
      </c>
      <c r="B18" s="51">
        <f ca="1">SUMIFS(OFFSET(Persistance!$K:$K,0,$A$2-Persistance!$K$1),Persistance!$B:$B,$A18,Persistance!$D:$D,B$5,Persistance!$A:$A,"Consumer")*1000</f>
        <v>0</v>
      </c>
      <c r="C18" s="51">
        <f ca="1">SUMIFS(OFFSET(Persistance!$K:$K,0,$A$2-Persistance!$K$1),Persistance!$B:$B,$A18,Persistance!$D:$D,C$5,Persistance!$A:$A,"Consumer")*1000</f>
        <v>0</v>
      </c>
      <c r="D18" s="51">
        <f ca="1">SUMIFS(OFFSET(Persistance!$K:$K,0,$A$2-Persistance!$K$1),Persistance!$B:$B,$A18,Persistance!$D:$D,D$5,Persistance!$A:$A,"Consumer")*1000</f>
        <v>119324.253105164</v>
      </c>
      <c r="E18" s="51">
        <f ca="1">SUMIFS(OFFSET(Persistance!$K:$K,0,$A$2-Persistance!$K$1),Persistance!$B:$B,$A18,Persistance!$D:$D,E$5,Persistance!$A:$A,"Consumer")*1000</f>
        <v>1692.6959529999999</v>
      </c>
      <c r="F18" s="51">
        <f ca="1">SUMIFS(OFFSET(Persistance!$K:$K,0,$A$2-Persistance!$K$1),Persistance!$B:$B,$A18,Persistance!$D:$D,F$5,Persistance!$A:$A,"Consumer")*1000</f>
        <v>0</v>
      </c>
      <c r="G18" s="51">
        <f ca="1">SUMIFS(OFFSET(Persistance!$K:$K,0,$A$2-Persistance!$K$1),Persistance!$B:$B,$A18,Persistance!$D:$D,G$5,Persistance!$A:$A,"Consumer")*1000</f>
        <v>0</v>
      </c>
      <c r="H18" s="51">
        <f ca="1">SUMIFS(OFFSET(Persistance!$K:$K,0,$A$2-Persistance!$K$1),Persistance!$B:$B,$A18,Persistance!$D:$D,H$5,Persistance!$A:$A,"Consumer")*1000</f>
        <v>0</v>
      </c>
      <c r="I18" s="51">
        <f ca="1">SUMIFS(OFFSET(Persistance!$K:$K,0,$A$2-Persistance!$K$1),Persistance!$B:$B,$A18,Persistance!$D:$D,I$5,Persistance!$A:$A,"Consumer")*1000</f>
        <v>0</v>
      </c>
      <c r="J18" s="51">
        <f ca="1">SUMIFS(OFFSET(Persistance!$K:$K,0,$A$2-Persistance!$K$1),Persistance!$B:$B,$A18,Persistance!$D:$D,J$5,Persistance!$A:$A,"Consumer")*1000</f>
        <v>0</v>
      </c>
      <c r="K18" s="51">
        <f ca="1">SUMIFS(OFFSET(Persistance!$K:$K,0,$A$2-Persistance!$K$1),Persistance!$B:$B,$A18,Persistance!$D:$D,K$5,Persistance!$A:$A,"Consumer")*1000</f>
        <v>0</v>
      </c>
      <c r="L18" s="34">
        <f t="shared" ca="1" si="2"/>
        <v>121016.949058164</v>
      </c>
      <c r="M18" s="34"/>
      <c r="N18" s="35"/>
      <c r="O18" s="36"/>
      <c r="P18" s="36"/>
      <c r="Q18" s="36"/>
      <c r="R18" s="2"/>
      <c r="S18" s="2"/>
      <c r="T18" s="2"/>
      <c r="U18" s="2"/>
    </row>
    <row r="19" spans="1:21" x14ac:dyDescent="0.25">
      <c r="A19" t="s">
        <v>76</v>
      </c>
      <c r="B19" s="51">
        <f ca="1">SUMIFS(OFFSET(Persistance!$K:$K,0,$A$2-Persistance!$K$1),Persistance!$B:$B,$A19,Persistance!$D:$D,B$5,Persistance!$A:$A,"Consumer")*1000</f>
        <v>0</v>
      </c>
      <c r="C19" s="51">
        <f ca="1">SUMIFS(OFFSET(Persistance!$K:$K,0,$A$2-Persistance!$K$1),Persistance!$B:$B,$A19,Persistance!$D:$D,C$5,Persistance!$A:$A,"Consumer")*1000</f>
        <v>8.8096292469061677</v>
      </c>
      <c r="D19" s="51">
        <f ca="1">SUMIFS(OFFSET(Persistance!$K:$K,0,$A$2-Persistance!$K$1),Persistance!$B:$B,$A19,Persistance!$D:$D,D$5,Persistance!$A:$A,"Consumer")*1000</f>
        <v>1531.6569654899999</v>
      </c>
      <c r="E19" s="51">
        <f ca="1">SUMIFS(OFFSET(Persistance!$K:$K,0,$A$2-Persistance!$K$1),Persistance!$B:$B,$A19,Persistance!$D:$D,E$5,Persistance!$A:$A,"Consumer")*1000</f>
        <v>0</v>
      </c>
      <c r="F19" s="51">
        <f ca="1">SUMIFS(OFFSET(Persistance!$K:$K,0,$A$2-Persistance!$K$1),Persistance!$B:$B,$A19,Persistance!$D:$D,F$5,Persistance!$A:$A,"Consumer")*1000</f>
        <v>0</v>
      </c>
      <c r="G19" s="51">
        <f ca="1">SUMIFS(OFFSET(Persistance!$K:$K,0,$A$2-Persistance!$K$1),Persistance!$B:$B,$A19,Persistance!$D:$D,G$5,Persistance!$A:$A,"Consumer")*1000</f>
        <v>0</v>
      </c>
      <c r="H19" s="51">
        <f ca="1">SUMIFS(OFFSET(Persistance!$K:$K,0,$A$2-Persistance!$K$1),Persistance!$B:$B,$A19,Persistance!$D:$D,H$5,Persistance!$A:$A,"Consumer")*1000</f>
        <v>0</v>
      </c>
      <c r="I19" s="51">
        <f ca="1">SUMIFS(OFFSET(Persistance!$K:$K,0,$A$2-Persistance!$K$1),Persistance!$B:$B,$A19,Persistance!$D:$D,I$5,Persistance!$A:$A,"Consumer")*1000</f>
        <v>0</v>
      </c>
      <c r="J19" s="51">
        <f ca="1">SUMIFS(OFFSET(Persistance!$K:$K,0,$A$2-Persistance!$K$1),Persistance!$B:$B,$A19,Persistance!$D:$D,J$5,Persistance!$A:$A,"Consumer")*1000</f>
        <v>0</v>
      </c>
      <c r="K19" s="51">
        <f ca="1">SUMIFS(OFFSET(Persistance!$K:$K,0,$A$2-Persistance!$K$1),Persistance!$B:$B,$A19,Persistance!$D:$D,K$5,Persistance!$A:$A,"Consumer")*1000</f>
        <v>0</v>
      </c>
      <c r="L19" s="34">
        <f t="shared" ca="1" si="2"/>
        <v>1540.466594736906</v>
      </c>
      <c r="M19" s="34"/>
      <c r="N19" s="35"/>
      <c r="O19" s="36"/>
      <c r="P19" s="36"/>
      <c r="Q19" s="36"/>
      <c r="R19" s="2"/>
      <c r="S19" s="2"/>
      <c r="T19" s="2"/>
      <c r="U19" s="2"/>
    </row>
    <row r="20" spans="1:21" x14ac:dyDescent="0.25">
      <c r="A20" t="s">
        <v>2</v>
      </c>
      <c r="B20" s="51">
        <f ca="1">SUMIFS(OFFSET(Persistance!$K:$K,0,$A$2-Persistance!$K$1),Persistance!$B:$B,$A20,Persistance!$D:$D,B$5,Persistance!$A:$A,"Consumer")*1000</f>
        <v>634.62790547023724</v>
      </c>
      <c r="C20" s="51">
        <f ca="1">SUMIFS(OFFSET(Persistance!$K:$K,0,$A$2-Persistance!$K$1),Persistance!$B:$B,$A20,Persistance!$D:$D,C$5,Persistance!$A:$A,"Consumer")*1000</f>
        <v>373.6511442107049</v>
      </c>
      <c r="D20" s="51">
        <f ca="1">SUMIFS(OFFSET(Persistance!$K:$K,0,$A$2-Persistance!$K$1),Persistance!$B:$B,$A20,Persistance!$D:$D,D$5,Persistance!$A:$A,"Consumer")*1000</f>
        <v>0</v>
      </c>
      <c r="E20" s="51">
        <f ca="1">SUMIFS(OFFSET(Persistance!$K:$K,0,$A$2-Persistance!$K$1),Persistance!$B:$B,$A20,Persistance!$D:$D,E$5,Persistance!$A:$A,"Consumer")*1000</f>
        <v>6490.7679317800003</v>
      </c>
      <c r="F20" s="51">
        <f ca="1">SUMIFS(OFFSET(Persistance!$K:$K,0,$A$2-Persistance!$K$1),Persistance!$B:$B,$A20,Persistance!$D:$D,F$5,Persistance!$A:$A,"Consumer")*1000</f>
        <v>0</v>
      </c>
      <c r="G20" s="51">
        <f ca="1">SUMIFS(OFFSET(Persistance!$K:$K,0,$A$2-Persistance!$K$1),Persistance!$B:$B,$A20,Persistance!$D:$D,G$5,Persistance!$A:$A,"Consumer")*1000</f>
        <v>0</v>
      </c>
      <c r="H20" s="51">
        <f ca="1">SUMIFS(OFFSET(Persistance!$K:$K,0,$A$2-Persistance!$K$1),Persistance!$B:$B,$A20,Persistance!$D:$D,H$5,Persistance!$A:$A,"Consumer")*1000</f>
        <v>0</v>
      </c>
      <c r="I20" s="51">
        <f ca="1">SUMIFS(OFFSET(Persistance!$K:$K,0,$A$2-Persistance!$K$1),Persistance!$B:$B,$A20,Persistance!$D:$D,I$5,Persistance!$A:$A,"Consumer")*1000</f>
        <v>0</v>
      </c>
      <c r="J20" s="51">
        <f ca="1">SUMIFS(OFFSET(Persistance!$K:$K,0,$A$2-Persistance!$K$1),Persistance!$B:$B,$A20,Persistance!$D:$D,J$5,Persistance!$A:$A,"Consumer")*1000</f>
        <v>0</v>
      </c>
      <c r="K20" s="51">
        <f ca="1">SUMIFS(OFFSET(Persistance!$K:$K,0,$A$2-Persistance!$K$1),Persistance!$B:$B,$A20,Persistance!$D:$D,K$5,Persistance!$A:$A,"Consumer")*1000</f>
        <v>0</v>
      </c>
      <c r="L20" s="34">
        <f t="shared" ca="1" si="2"/>
        <v>7499.0469814609423</v>
      </c>
      <c r="M20" s="34"/>
      <c r="N20" s="35"/>
      <c r="O20" s="36"/>
      <c r="P20" s="36"/>
      <c r="Q20" s="36"/>
      <c r="R20" s="2"/>
      <c r="S20" s="2"/>
      <c r="T20" s="2"/>
      <c r="U20" s="2"/>
    </row>
    <row r="21" spans="1:21" x14ac:dyDescent="0.25">
      <c r="A21" t="s">
        <v>54</v>
      </c>
      <c r="B21" s="51">
        <f ca="1">SUMIFS(OFFSET(Persistance!$K:$K,0,$A$2-Persistance!$K$1),Persistance!$B:$B,$A21,Persistance!$D:$D,B$5,Persistance!$A:$A,"Consumer")*1000</f>
        <v>0</v>
      </c>
      <c r="C21" s="51">
        <f ca="1">SUMIFS(OFFSET(Persistance!$K:$K,0,$A$2-Persistance!$K$1),Persistance!$B:$B,$A21,Persistance!$D:$D,C$5,Persistance!$A:$A,"Consumer")*1000</f>
        <v>0</v>
      </c>
      <c r="D21" s="51">
        <f ca="1">SUMIFS(OFFSET(Persistance!$K:$K,0,$A$2-Persistance!$K$1),Persistance!$B:$B,$A21,Persistance!$D:$D,D$5,Persistance!$A:$A,"Consumer")*1000</f>
        <v>0</v>
      </c>
      <c r="E21" s="51">
        <f ca="1">SUMIFS(OFFSET(Persistance!$K:$K,0,$A$2-Persistance!$K$1),Persistance!$B:$B,$A21,Persistance!$D:$D,E$5,Persistance!$A:$A,"Consumer")*1000</f>
        <v>0</v>
      </c>
      <c r="F21" s="51">
        <f ca="1">SUMIFS(OFFSET(Persistance!$K:$K,0,$A$2-Persistance!$K$1),Persistance!$B:$B,$A21,Persistance!$D:$D,F$5,Persistance!$A:$A,"Consumer")*1000</f>
        <v>0</v>
      </c>
      <c r="G21" s="51">
        <f ca="1">SUMIFS(OFFSET(Persistance!$K:$K,0,$A$2-Persistance!$K$1),Persistance!$B:$B,$A21,Persistance!$D:$D,G$5,Persistance!$A:$A,"Consumer")*1000</f>
        <v>0</v>
      </c>
      <c r="H21" s="51">
        <f ca="1">SUMIFS(OFFSET(Persistance!$K:$K,0,$A$2-Persistance!$K$1),Persistance!$B:$B,$A21,Persistance!$D:$D,H$5,Persistance!$A:$A,"Consumer")*1000</f>
        <v>0</v>
      </c>
      <c r="I21" s="51">
        <f ca="1">SUMIFS(OFFSET(Persistance!$K:$K,0,$A$2-Persistance!$K$1),Persistance!$B:$B,$A21,Persistance!$D:$D,I$5,Persistance!$A:$A,"Consumer")*1000</f>
        <v>0</v>
      </c>
      <c r="J21" s="51">
        <f ca="1">SUMIFS(OFFSET(Persistance!$K:$K,0,$A$2-Persistance!$K$1),Persistance!$B:$B,$A21,Persistance!$D:$D,J$5,Persistance!$A:$A,"Consumer")*1000</f>
        <v>0</v>
      </c>
      <c r="K21" s="51">
        <f ca="1">SUMIFS(OFFSET(Persistance!$K:$K,0,$A$2-Persistance!$K$1),Persistance!$B:$B,$A21,Persistance!$D:$D,K$5,Persistance!$A:$A,"Consumer")*1000</f>
        <v>0</v>
      </c>
      <c r="L21" s="34">
        <f t="shared" ca="1" si="2"/>
        <v>0</v>
      </c>
      <c r="M21" s="34"/>
      <c r="N21" s="35"/>
      <c r="O21" s="36"/>
      <c r="P21" s="36"/>
      <c r="Q21" s="36"/>
      <c r="R21" s="2"/>
      <c r="S21" s="2"/>
      <c r="T21" s="2"/>
      <c r="U21" s="2"/>
    </row>
    <row r="22" spans="1:21" x14ac:dyDescent="0.25">
      <c r="A22" t="s">
        <v>63</v>
      </c>
      <c r="B22" s="51">
        <f ca="1">SUMIFS(OFFSET(Persistance!$K:$K,0,$A$2-Persistance!$K$1),Persistance!$B:$B,$A22,Persistance!$D:$D,B$5,Persistance!$A:$A,"Consumer")*1000</f>
        <v>0</v>
      </c>
      <c r="C22" s="51">
        <f ca="1">SUMIFS(OFFSET(Persistance!$K:$K,0,$A$2-Persistance!$K$1),Persistance!$B:$B,$A22,Persistance!$D:$D,C$5,Persistance!$A:$A,"Consumer")*1000</f>
        <v>0</v>
      </c>
      <c r="D22" s="51">
        <f ca="1">SUMIFS(OFFSET(Persistance!$K:$K,0,$A$2-Persistance!$K$1),Persistance!$B:$B,$A22,Persistance!$D:$D,D$5,Persistance!$A:$A,"Consumer")*1000</f>
        <v>0</v>
      </c>
      <c r="E22" s="51">
        <f ca="1">SUMIFS(OFFSET(Persistance!$K:$K,0,$A$2-Persistance!$K$1),Persistance!$B:$B,$A22,Persistance!$D:$D,E$5,Persistance!$A:$A,"Consumer")*1000</f>
        <v>0</v>
      </c>
      <c r="F22" s="51">
        <f ca="1">SUMIFS(OFFSET(Persistance!$K:$K,0,$A$2-Persistance!$K$1),Persistance!$B:$B,$A22,Persistance!$D:$D,F$5,Persistance!$A:$A,"Consumer")*1000</f>
        <v>0</v>
      </c>
      <c r="G22" s="51">
        <f ca="1">SUMIFS(OFFSET(Persistance!$K:$K,0,$A$2-Persistance!$K$1),Persistance!$B:$B,$A22,Persistance!$D:$D,G$5,Persistance!$A:$A,"Consumer")*1000</f>
        <v>0</v>
      </c>
      <c r="H22" s="51">
        <f ca="1">SUMIFS(OFFSET(Persistance!$K:$K,0,$A$2-Persistance!$K$1),Persistance!$B:$B,$A22,Persistance!$D:$D,H$5,Persistance!$A:$A,"Consumer")*1000</f>
        <v>0</v>
      </c>
      <c r="I22" s="51">
        <f ca="1">SUMIFS(OFFSET(Persistance!$K:$K,0,$A$2-Persistance!$K$1),Persistance!$B:$B,$A22,Persistance!$D:$D,I$5,Persistance!$A:$A,"Consumer")*1000</f>
        <v>0</v>
      </c>
      <c r="J22" s="51">
        <f ca="1">SUMIFS(OFFSET(Persistance!$K:$K,0,$A$2-Persistance!$K$1),Persistance!$B:$B,$A22,Persistance!$D:$D,J$5,Persistance!$A:$A,"Consumer")*1000</f>
        <v>0</v>
      </c>
      <c r="K22" s="51">
        <f ca="1">SUMIFS(OFFSET(Persistance!$K:$K,0,$A$2-Persistance!$K$1),Persistance!$B:$B,$A22,Persistance!$D:$D,K$5,Persistance!$A:$A,"Consumer")*1000</f>
        <v>0</v>
      </c>
      <c r="L22" s="34">
        <f t="shared" ca="1" si="2"/>
        <v>0</v>
      </c>
      <c r="M22" s="34"/>
      <c r="N22" s="35"/>
      <c r="O22" s="36"/>
      <c r="P22" s="36"/>
      <c r="Q22" s="36"/>
      <c r="R22" s="2"/>
      <c r="S22" s="2"/>
      <c r="T22" s="2"/>
      <c r="U22" s="2"/>
    </row>
    <row r="23" spans="1:21" x14ac:dyDescent="0.25">
      <c r="A23" t="s">
        <v>71</v>
      </c>
      <c r="B23" s="51">
        <f ca="1">SUMIFS(OFFSET(Persistance!$K:$K,0,$A$2-Persistance!$K$1),Persistance!$B:$B,$A23,Persistance!$D:$D,B$5,Persistance!$A:$A,"Consumer")*1000</f>
        <v>0</v>
      </c>
      <c r="C23" s="51">
        <f ca="1">SUMIFS(OFFSET(Persistance!$K:$K,0,$A$2-Persistance!$K$1),Persistance!$B:$B,$A23,Persistance!$D:$D,C$5,Persistance!$A:$A,"Consumer")*1000</f>
        <v>0</v>
      </c>
      <c r="D23" s="51">
        <f ca="1">SUMIFS(OFFSET(Persistance!$K:$K,0,$A$2-Persistance!$K$1),Persistance!$B:$B,$A23,Persistance!$D:$D,D$5,Persistance!$A:$A,"Consumer")*1000</f>
        <v>0</v>
      </c>
      <c r="E23" s="51">
        <f ca="1">SUMIFS(OFFSET(Persistance!$K:$K,0,$A$2-Persistance!$K$1),Persistance!$B:$B,$A23,Persistance!$D:$D,E$5,Persistance!$A:$A,"Consumer")*1000</f>
        <v>0</v>
      </c>
      <c r="F23" s="51">
        <f ca="1">SUMIFS(OFFSET(Persistance!$K:$K,0,$A$2-Persistance!$K$1),Persistance!$B:$B,$A23,Persistance!$D:$D,F$5,Persistance!$A:$A,"Consumer")*1000</f>
        <v>0</v>
      </c>
      <c r="G23" s="51">
        <f ca="1">SUMIFS(OFFSET(Persistance!$K:$K,0,$A$2-Persistance!$K$1),Persistance!$B:$B,$A23,Persistance!$D:$D,G$5,Persistance!$A:$A,"Consumer")*1000</f>
        <v>0</v>
      </c>
      <c r="H23" s="51">
        <f ca="1">SUMIFS(OFFSET(Persistance!$K:$K,0,$A$2-Persistance!$K$1),Persistance!$B:$B,$A23,Persistance!$D:$D,H$5,Persistance!$A:$A,"Consumer")*1000</f>
        <v>0</v>
      </c>
      <c r="I23" s="51">
        <f ca="1">SUMIFS(OFFSET(Persistance!$K:$K,0,$A$2-Persistance!$K$1),Persistance!$B:$B,$A23,Persistance!$D:$D,I$5,Persistance!$A:$A,"Consumer")*1000</f>
        <v>0</v>
      </c>
      <c r="J23" s="51">
        <f ca="1">SUMIFS(OFFSET(Persistance!$K:$K,0,$A$2-Persistance!$K$1),Persistance!$B:$B,$A23,Persistance!$D:$D,J$5,Persistance!$A:$A,"Consumer")*1000</f>
        <v>0</v>
      </c>
      <c r="K23" s="51">
        <f ca="1">SUMIFS(OFFSET(Persistance!$K:$K,0,$A$2-Persistance!$K$1),Persistance!$B:$B,$A23,Persistance!$D:$D,K$5,Persistance!$A:$A,"Consumer")*1000</f>
        <v>0</v>
      </c>
      <c r="L23" s="34">
        <f t="shared" ca="1" si="2"/>
        <v>0</v>
      </c>
      <c r="M23" s="34"/>
      <c r="N23" s="35"/>
      <c r="O23" s="36"/>
      <c r="P23" s="36"/>
      <c r="Q23" s="36"/>
      <c r="R23" s="2"/>
      <c r="S23" s="2"/>
      <c r="T23" s="2"/>
      <c r="U23" s="2"/>
    </row>
    <row r="24" spans="1:21" x14ac:dyDescent="0.25">
      <c r="A24" t="s">
        <v>72</v>
      </c>
      <c r="B24" s="51">
        <f ca="1">SUMIFS(OFFSET(Persistance!$K:$K,0,$A$2-Persistance!$K$1),Persistance!$B:$B,$A24,Persistance!$D:$D,B$5,Persistance!$A:$A,"Consumer")*1000</f>
        <v>0</v>
      </c>
      <c r="C24" s="51">
        <f ca="1">SUMIFS(OFFSET(Persistance!$K:$K,0,$A$2-Persistance!$K$1),Persistance!$B:$B,$A24,Persistance!$D:$D,C$5,Persistance!$A:$A,"Consumer")*1000</f>
        <v>0</v>
      </c>
      <c r="D24" s="51">
        <f ca="1">SUMIFS(OFFSET(Persistance!$K:$K,0,$A$2-Persistance!$K$1),Persistance!$B:$B,$A24,Persistance!$D:$D,D$5,Persistance!$A:$A,"Consumer")*1000</f>
        <v>0</v>
      </c>
      <c r="E24" s="51">
        <f ca="1">SUMIFS(OFFSET(Persistance!$K:$K,0,$A$2-Persistance!$K$1),Persistance!$B:$B,$A24,Persistance!$D:$D,E$5,Persistance!$A:$A,"Consumer")*1000</f>
        <v>0</v>
      </c>
      <c r="F24" s="51">
        <f ca="1">SUMIFS(OFFSET(Persistance!$K:$K,0,$A$2-Persistance!$K$1),Persistance!$B:$B,$A24,Persistance!$D:$D,F$5,Persistance!$A:$A,"Consumer")*1000</f>
        <v>0</v>
      </c>
      <c r="G24" s="51">
        <f ca="1">SUMIFS(OFFSET(Persistance!$K:$K,0,$A$2-Persistance!$K$1),Persistance!$B:$B,$A24,Persistance!$D:$D,G$5,Persistance!$A:$A,"Consumer")*1000</f>
        <v>0</v>
      </c>
      <c r="H24" s="51">
        <f ca="1">SUMIFS(OFFSET(Persistance!$K:$K,0,$A$2-Persistance!$K$1),Persistance!$B:$B,$A24,Persistance!$D:$D,H$5,Persistance!$A:$A,"Consumer")*1000</f>
        <v>0</v>
      </c>
      <c r="I24" s="51">
        <f ca="1">SUMIFS(OFFSET(Persistance!$K:$K,0,$A$2-Persistance!$K$1),Persistance!$B:$B,$A24,Persistance!$D:$D,I$5,Persistance!$A:$A,"Consumer")*1000</f>
        <v>0</v>
      </c>
      <c r="J24" s="51">
        <f ca="1">SUMIFS(OFFSET(Persistance!$K:$K,0,$A$2-Persistance!$K$1),Persistance!$B:$B,$A24,Persistance!$D:$D,J$5,Persistance!$A:$A,"Consumer")*1000</f>
        <v>0</v>
      </c>
      <c r="K24" s="51">
        <f ca="1">SUMIFS(OFFSET(Persistance!$K:$K,0,$A$2-Persistance!$K$1),Persistance!$B:$B,$A24,Persistance!$D:$D,K$5,Persistance!$A:$A,"Consumer")*1000</f>
        <v>0</v>
      </c>
      <c r="L24" s="34">
        <f t="shared" ca="1" si="2"/>
        <v>0</v>
      </c>
      <c r="M24" s="34"/>
      <c r="N24" s="35"/>
      <c r="O24" s="36"/>
      <c r="P24" s="36"/>
      <c r="Q24" s="36"/>
      <c r="R24" s="2"/>
      <c r="S24" s="2"/>
      <c r="T24" s="2"/>
      <c r="U24" s="2"/>
    </row>
    <row r="25" spans="1:21" x14ac:dyDescent="0.25">
      <c r="A25" t="s">
        <v>40</v>
      </c>
      <c r="B25" s="51">
        <f ca="1">SUMIFS(OFFSET(Persistance!$K:$K,0,$A$2-Persistance!$K$1),Persistance!$B:$B,$A25,Persistance!$D:$D,B$5,Persistance!$A:$A,"Consumer")*1000</f>
        <v>0</v>
      </c>
      <c r="C25" s="51">
        <f ca="1">SUMIFS(OFFSET(Persistance!$K:$K,0,$A$2-Persistance!$K$1),Persistance!$B:$B,$A25,Persistance!$D:$D,C$5,Persistance!$A:$A,"Consumer")*1000</f>
        <v>0</v>
      </c>
      <c r="D25" s="51">
        <f ca="1">SUMIFS(OFFSET(Persistance!$K:$K,0,$A$2-Persistance!$K$1),Persistance!$B:$B,$A25,Persistance!$D:$D,D$5,Persistance!$A:$A,"Consumer")*1000</f>
        <v>0</v>
      </c>
      <c r="E25" s="51">
        <f ca="1">SUMIFS(OFFSET(Persistance!$K:$K,0,$A$2-Persistance!$K$1),Persistance!$B:$B,$A25,Persistance!$D:$D,E$5,Persistance!$A:$A,"Consumer")*1000</f>
        <v>0</v>
      </c>
      <c r="F25" s="51">
        <f ca="1">SUMIFS(OFFSET(Persistance!$K:$K,0,$A$2-Persistance!$K$1),Persistance!$B:$B,$A25,Persistance!$D:$D,F$5,Persistance!$A:$A,"Consumer")*1000</f>
        <v>0</v>
      </c>
      <c r="G25" s="51">
        <f ca="1">SUMIFS(OFFSET(Persistance!$K:$K,0,$A$2-Persistance!$K$1),Persistance!$B:$B,$A25,Persistance!$D:$D,G$5,Persistance!$A:$A,"Consumer")*1000</f>
        <v>0</v>
      </c>
      <c r="H25" s="51">
        <f ca="1">SUMIFS(OFFSET(Persistance!$K:$K,0,$A$2-Persistance!$K$1),Persistance!$B:$B,$A25,Persistance!$D:$D,H$5,Persistance!$A:$A,"Consumer")*1000</f>
        <v>0</v>
      </c>
      <c r="I25" s="51">
        <f ca="1">SUMIFS(OFFSET(Persistance!$K:$K,0,$A$2-Persistance!$K$1),Persistance!$B:$B,$A25,Persistance!$D:$D,I$5,Persistance!$A:$A,"Consumer")*1000</f>
        <v>0</v>
      </c>
      <c r="J25" s="51">
        <f ca="1">SUMIFS(OFFSET(Persistance!$K:$K,0,$A$2-Persistance!$K$1),Persistance!$B:$B,$A25,Persistance!$D:$D,J$5,Persistance!$A:$A,"Consumer")*1000</f>
        <v>0</v>
      </c>
      <c r="K25" s="51">
        <f ca="1">SUMIFS(OFFSET(Persistance!$K:$K,0,$A$2-Persistance!$K$1),Persistance!$B:$B,$A25,Persistance!$D:$D,K$5,Persistance!$A:$A,"Consumer")*1000</f>
        <v>0</v>
      </c>
      <c r="L25" s="34">
        <f t="shared" ca="1" si="2"/>
        <v>0</v>
      </c>
      <c r="M25" s="34"/>
      <c r="N25" s="35"/>
      <c r="O25" s="36"/>
      <c r="P25" s="36"/>
      <c r="Q25" s="36"/>
      <c r="R25" s="2"/>
      <c r="S25" s="2"/>
      <c r="T25" s="2"/>
      <c r="U25" s="2"/>
    </row>
    <row r="26" spans="1:21" x14ac:dyDescent="0.25">
      <c r="A26" t="s">
        <v>55</v>
      </c>
      <c r="B26" s="51">
        <f ca="1">SUMIFS(OFFSET(Persistance!$K:$K,0,$A$2-Persistance!$K$1),Persistance!$B:$B,$A26,Persistance!$D:$D,B$5,Persistance!$A:$A,"Consumer")*1000</f>
        <v>0</v>
      </c>
      <c r="C26" s="51">
        <f ca="1">SUMIFS(OFFSET(Persistance!$K:$K,0,$A$2-Persistance!$K$1),Persistance!$B:$B,$A26,Persistance!$D:$D,C$5,Persistance!$A:$A,"Consumer")*1000</f>
        <v>0</v>
      </c>
      <c r="D26" s="51">
        <f ca="1">SUMIFS(OFFSET(Persistance!$K:$K,0,$A$2-Persistance!$K$1),Persistance!$B:$B,$A26,Persistance!$D:$D,D$5,Persistance!$A:$A,"Consumer")*1000</f>
        <v>0</v>
      </c>
      <c r="E26" s="51">
        <f ca="1">SUMIFS(OFFSET(Persistance!$K:$K,0,$A$2-Persistance!$K$1),Persistance!$B:$B,$A26,Persistance!$D:$D,E$5,Persistance!$A:$A,"Consumer")*1000</f>
        <v>0</v>
      </c>
      <c r="F26" s="51">
        <f ca="1">SUMIFS(OFFSET(Persistance!$K:$K,0,$A$2-Persistance!$K$1),Persistance!$B:$B,$A26,Persistance!$D:$D,F$5,Persistance!$A:$A,"Consumer")*1000</f>
        <v>0</v>
      </c>
      <c r="G26" s="51">
        <f ca="1">SUMIFS(OFFSET(Persistance!$K:$K,0,$A$2-Persistance!$K$1),Persistance!$B:$B,$A26,Persistance!$D:$D,G$5,Persistance!$A:$A,"Consumer")*1000</f>
        <v>0</v>
      </c>
      <c r="H26" s="51">
        <f ca="1">SUMIFS(OFFSET(Persistance!$K:$K,0,$A$2-Persistance!$K$1),Persistance!$B:$B,$A26,Persistance!$D:$D,H$5,Persistance!$A:$A,"Consumer")*1000</f>
        <v>0</v>
      </c>
      <c r="I26" s="51">
        <f ca="1">SUMIFS(OFFSET(Persistance!$K:$K,0,$A$2-Persistance!$K$1),Persistance!$B:$B,$A26,Persistance!$D:$D,I$5,Persistance!$A:$A,"Consumer")*1000</f>
        <v>0</v>
      </c>
      <c r="J26" s="51">
        <f ca="1">SUMIFS(OFFSET(Persistance!$K:$K,0,$A$2-Persistance!$K$1),Persistance!$B:$B,$A26,Persistance!$D:$D,J$5,Persistance!$A:$A,"Consumer")*1000</f>
        <v>0</v>
      </c>
      <c r="K26" s="51">
        <f ca="1">SUMIFS(OFFSET(Persistance!$K:$K,0,$A$2-Persistance!$K$1),Persistance!$B:$B,$A26,Persistance!$D:$D,K$5,Persistance!$A:$A,"Consumer")*1000</f>
        <v>0</v>
      </c>
      <c r="L26" s="34">
        <f t="shared" ca="1" si="2"/>
        <v>0</v>
      </c>
      <c r="M26" s="34"/>
      <c r="N26" s="35"/>
      <c r="O26" s="36"/>
      <c r="P26" s="36"/>
      <c r="Q26" s="36"/>
      <c r="R26" s="2"/>
      <c r="S26" s="2"/>
      <c r="T26" s="2"/>
      <c r="U26" s="2"/>
    </row>
    <row r="27" spans="1:21" x14ac:dyDescent="0.25">
      <c r="A27" t="s">
        <v>39</v>
      </c>
      <c r="B27" s="51">
        <f ca="1">SUMIFS(OFFSET(Persistance!$K:$K,0,$A$2-Persistance!$K$1),Persistance!$B:$B,$A27,Persistance!$D:$D,B$5,Persistance!$A:$A,"Consumer")*1000</f>
        <v>0</v>
      </c>
      <c r="C27" s="51">
        <f ca="1">SUMIFS(OFFSET(Persistance!$K:$K,0,$A$2-Persistance!$K$1),Persistance!$B:$B,$A27,Persistance!$D:$D,C$5,Persistance!$A:$A,"Consumer")*1000</f>
        <v>0</v>
      </c>
      <c r="D27" s="51">
        <f ca="1">SUMIFS(OFFSET(Persistance!$K:$K,0,$A$2-Persistance!$K$1),Persistance!$B:$B,$A27,Persistance!$D:$D,D$5,Persistance!$A:$A,"Consumer")*1000</f>
        <v>0</v>
      </c>
      <c r="E27" s="51">
        <f ca="1">SUMIFS(OFFSET(Persistance!$K:$K,0,$A$2-Persistance!$K$1),Persistance!$B:$B,$A27,Persistance!$D:$D,E$5,Persistance!$A:$A,"Consumer")*1000</f>
        <v>0</v>
      </c>
      <c r="F27" s="51">
        <f ca="1">SUMIFS(OFFSET(Persistance!$K:$K,0,$A$2-Persistance!$K$1),Persistance!$B:$B,$A27,Persistance!$D:$D,F$5,Persistance!$A:$A,"Consumer")*1000</f>
        <v>0</v>
      </c>
      <c r="G27" s="51">
        <f ca="1">SUMIFS(OFFSET(Persistance!$K:$K,0,$A$2-Persistance!$K$1),Persistance!$B:$B,$A27,Persistance!$D:$D,G$5,Persistance!$A:$A,"Consumer")*1000</f>
        <v>0</v>
      </c>
      <c r="H27" s="51">
        <f ca="1">SUMIFS(OFFSET(Persistance!$K:$K,0,$A$2-Persistance!$K$1),Persistance!$B:$B,$A27,Persistance!$D:$D,H$5,Persistance!$A:$A,"Consumer")*1000</f>
        <v>0</v>
      </c>
      <c r="I27" s="51">
        <f ca="1">SUMIFS(OFFSET(Persistance!$K:$K,0,$A$2-Persistance!$K$1),Persistance!$B:$B,$A27,Persistance!$D:$D,I$5,Persistance!$A:$A,"Consumer")*1000</f>
        <v>0</v>
      </c>
      <c r="J27" s="51">
        <f ca="1">SUMIFS(OFFSET(Persistance!$K:$K,0,$A$2-Persistance!$K$1),Persistance!$B:$B,$A27,Persistance!$D:$D,J$5,Persistance!$A:$A,"Consumer")*1000</f>
        <v>0</v>
      </c>
      <c r="K27" s="51">
        <f ca="1">SUMIFS(OFFSET(Persistance!$K:$K,0,$A$2-Persistance!$K$1),Persistance!$B:$B,$A27,Persistance!$D:$D,K$5,Persistance!$A:$A,"Consumer")*1000</f>
        <v>0</v>
      </c>
      <c r="L27" s="34">
        <f t="shared" ca="1" si="2"/>
        <v>0</v>
      </c>
      <c r="M27" s="34"/>
      <c r="N27" s="35"/>
      <c r="O27" s="36"/>
      <c r="P27" s="36"/>
      <c r="Q27" s="36"/>
      <c r="R27" s="2"/>
      <c r="S27" s="2"/>
      <c r="T27" s="2"/>
      <c r="U27" s="2"/>
    </row>
    <row r="28" spans="1:21" x14ac:dyDescent="0.25">
      <c r="A28" t="s">
        <v>65</v>
      </c>
      <c r="B28" s="51">
        <f ca="1">SUMIFS(OFFSET(Persistance!$K:$K,0,$A$2-Persistance!$K$1),Persistance!$B:$B,$A28,Persistance!$D:$D,B$5,Persistance!$A:$A,"Consumer")*1000</f>
        <v>0</v>
      </c>
      <c r="C28" s="51">
        <f ca="1">SUMIFS(OFFSET(Persistance!$K:$K,0,$A$2-Persistance!$K$1),Persistance!$B:$B,$A28,Persistance!$D:$D,C$5,Persistance!$A:$A,"Consumer")*1000</f>
        <v>0</v>
      </c>
      <c r="D28" s="51">
        <f ca="1">SUMIFS(OFFSET(Persistance!$K:$K,0,$A$2-Persistance!$K$1),Persistance!$B:$B,$A28,Persistance!$D:$D,D$5,Persistance!$A:$A,"Consumer")*1000</f>
        <v>0</v>
      </c>
      <c r="E28" s="51">
        <f ca="1">SUMIFS(OFFSET(Persistance!$K:$K,0,$A$2-Persistance!$K$1),Persistance!$B:$B,$A28,Persistance!$D:$D,E$5,Persistance!$A:$A,"Consumer")*1000</f>
        <v>0</v>
      </c>
      <c r="F28" s="51">
        <f ca="1">SUMIFS(OFFSET(Persistance!$K:$K,0,$A$2-Persistance!$K$1),Persistance!$B:$B,$A28,Persistance!$D:$D,F$5,Persistance!$A:$A,"Consumer")*1000</f>
        <v>0</v>
      </c>
      <c r="G28" s="51">
        <f ca="1">SUMIFS(OFFSET(Persistance!$K:$K,0,$A$2-Persistance!$K$1),Persistance!$B:$B,$A28,Persistance!$D:$D,G$5,Persistance!$A:$A,"Consumer")*1000</f>
        <v>0</v>
      </c>
      <c r="H28" s="51">
        <f ca="1">SUMIFS(OFFSET(Persistance!$K:$K,0,$A$2-Persistance!$K$1),Persistance!$B:$B,$A28,Persistance!$D:$D,H$5,Persistance!$A:$A,"Consumer")*1000</f>
        <v>0</v>
      </c>
      <c r="I28" s="51">
        <f ca="1">SUMIFS(OFFSET(Persistance!$K:$K,0,$A$2-Persistance!$K$1),Persistance!$B:$B,$A28,Persistance!$D:$D,I$5,Persistance!$A:$A,"Consumer")*1000</f>
        <v>0</v>
      </c>
      <c r="J28" s="51">
        <f ca="1">SUMIFS(OFFSET(Persistance!$K:$K,0,$A$2-Persistance!$K$1),Persistance!$B:$B,$A28,Persistance!$D:$D,J$5,Persistance!$A:$A,"Consumer")*1000</f>
        <v>0</v>
      </c>
      <c r="K28" s="51">
        <f ca="1">SUMIFS(OFFSET(Persistance!$K:$K,0,$A$2-Persistance!$K$1),Persistance!$B:$B,$A28,Persistance!$D:$D,K$5,Persistance!$A:$A,"Consumer")*1000</f>
        <v>0</v>
      </c>
      <c r="L28" s="34">
        <f t="shared" ca="1" si="2"/>
        <v>0</v>
      </c>
      <c r="M28" s="34"/>
      <c r="N28" s="35"/>
      <c r="O28" s="36"/>
      <c r="P28" s="36"/>
      <c r="Q28" s="36"/>
      <c r="R28" s="2"/>
      <c r="S28" s="28" t="s">
        <v>49</v>
      </c>
      <c r="T28" s="28" t="s">
        <v>17</v>
      </c>
      <c r="U28" s="2" t="s">
        <v>50</v>
      </c>
    </row>
    <row r="29" spans="1:21" x14ac:dyDescent="0.25"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6"/>
      <c r="Q29" s="36"/>
      <c r="R29" s="2"/>
      <c r="S29" s="29">
        <f ca="1">$A$2</f>
        <v>2014</v>
      </c>
      <c r="T29" s="50">
        <f ca="1">AVERAGEIFS(Rates!E:E,Rates!F:F,'2014'!S29,Rates!G:G,"Consumer")</f>
        <v>1.5699999999999999E-2</v>
      </c>
      <c r="U29" s="30">
        <f ca="1">AVERAGEIFS(Rates!B:B,Rates!F:F,'2014'!S29,Rates!G:G,"Consumer")</f>
        <v>41760</v>
      </c>
    </row>
    <row r="30" spans="1:21" x14ac:dyDescent="0.25">
      <c r="A30" t="s">
        <v>9</v>
      </c>
      <c r="B30" s="64">
        <f ca="1">SUM(B8:B29)</f>
        <v>83802.613718219451</v>
      </c>
      <c r="C30" s="64">
        <f ca="1">SUM(C8:C29)</f>
        <v>48175.241413507509</v>
      </c>
      <c r="D30" s="64">
        <f ca="1">SUM(D8:D29)</f>
        <v>159434.74873761169</v>
      </c>
      <c r="E30" s="64">
        <f t="shared" ref="E30:K30" ca="1" si="3">SUM(E8:E29)</f>
        <v>184207.89752032026</v>
      </c>
      <c r="F30" s="64">
        <f t="shared" ca="1" si="3"/>
        <v>0</v>
      </c>
      <c r="G30" s="64">
        <f t="shared" ca="1" si="3"/>
        <v>0</v>
      </c>
      <c r="H30" s="64">
        <f t="shared" ca="1" si="3"/>
        <v>0</v>
      </c>
      <c r="I30" s="64">
        <f t="shared" ca="1" si="3"/>
        <v>0</v>
      </c>
      <c r="J30" s="64">
        <f t="shared" ca="1" si="3"/>
        <v>0</v>
      </c>
      <c r="K30" s="64">
        <f t="shared" ca="1" si="3"/>
        <v>0</v>
      </c>
      <c r="L30" s="64">
        <f ca="1">SUM(L8:L29)</f>
        <v>475620.50138965895</v>
      </c>
      <c r="M30" s="64">
        <f>Summary!$G$6</f>
        <v>658968</v>
      </c>
      <c r="N30" s="64">
        <f ca="1">(((MONTH(U29)-1)/12)*T30)+(((12-(MONTH(U29)-1))/12)*T29)</f>
        <v>1.5599999999999999E-2</v>
      </c>
      <c r="O30" s="64">
        <f ca="1">ROUND(L30*N30,2)</f>
        <v>7419.68</v>
      </c>
      <c r="P30" s="64">
        <f ca="1">ROUND(M30*N30,2)</f>
        <v>10279.9</v>
      </c>
      <c r="Q30" s="64">
        <f ca="1">+O30-P30</f>
        <v>-2860.2199999999993</v>
      </c>
      <c r="R30" s="2"/>
      <c r="S30" s="29">
        <f ca="1">S29-1</f>
        <v>2013</v>
      </c>
      <c r="T30" s="50">
        <f ca="1">AVERAGEIFS(Rates!E:E,Rates!F:F,'2014'!S30,Rates!G:G,"Consumer")</f>
        <v>1.54E-2</v>
      </c>
      <c r="U30" s="2"/>
    </row>
    <row r="31" spans="1:21" x14ac:dyDescent="0.25">
      <c r="B31" s="2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6"/>
      <c r="Q31" s="36"/>
      <c r="R31" s="2"/>
      <c r="S31" s="2"/>
      <c r="T31" s="2"/>
      <c r="U31" s="31"/>
    </row>
    <row r="32" spans="1:21" x14ac:dyDescent="0.25">
      <c r="A32" s="23" t="s">
        <v>45</v>
      </c>
      <c r="B32" s="51">
        <f ca="1">SUMIFS(OFFSET(Persistance!$K:$K,0,$A$2-Persistance!$K$1),Persistance!$B:$B,$A32,Persistance!$D:$D,B$5,Persistance!$A:$A,"Business")*1000</f>
        <v>0</v>
      </c>
      <c r="C32" s="51">
        <f ca="1">SUMIFS(OFFSET(Persistance!$K:$K,0,$A$2-Persistance!$K$1),Persistance!$B:$B,$A32,Persistance!$D:$D,C$5,Persistance!$A:$A,"Business")*1000</f>
        <v>0</v>
      </c>
      <c r="D32" s="51">
        <f ca="1">SUMIFS(OFFSET(Persistance!$K:$K,0,$A$2-Persistance!$K$1),Persistance!$B:$B,$A32,Persistance!$D:$D,D$5,Persistance!$A:$A,"Business")*1000</f>
        <v>0</v>
      </c>
      <c r="E32" s="51">
        <f ca="1">SUMIFS(OFFSET(Persistance!$K:$K,0,$A$2-Persistance!$K$1),Persistance!$B:$B,$A32,Persistance!$D:$D,E$5,Persistance!$A:$A,"Business")*1000</f>
        <v>0</v>
      </c>
      <c r="F32" s="51">
        <f ca="1">SUMIFS(OFFSET(Persistance!$K:$K,0,$A$2-Persistance!$K$1),Persistance!$B:$B,$A32,Persistance!$D:$D,F$5,Persistance!$A:$A,"Business")*1000</f>
        <v>0</v>
      </c>
      <c r="G32" s="51">
        <f ca="1">SUMIFS(OFFSET(Persistance!$K:$K,0,$A$2-Persistance!$K$1),Persistance!$B:$B,$A32,Persistance!$D:$D,G$5,Persistance!$A:$A,"Business")*1000</f>
        <v>0</v>
      </c>
      <c r="H32" s="51">
        <f ca="1">SUMIFS(OFFSET(Persistance!$K:$K,0,$A$2-Persistance!$K$1),Persistance!$B:$B,$A32,Persistance!$D:$D,H$5,Persistance!$A:$A,"Business")*1000</f>
        <v>0</v>
      </c>
      <c r="I32" s="51">
        <f ca="1">SUMIFS(OFFSET(Persistance!$K:$K,0,$A$2-Persistance!$K$1),Persistance!$B:$B,$A32,Persistance!$D:$D,I$5,Persistance!$A:$A,"Business")*1000</f>
        <v>0</v>
      </c>
      <c r="J32" s="51">
        <f ca="1">SUMIFS(OFFSET(Persistance!$K:$K,0,$A$2-Persistance!$K$1),Persistance!$B:$B,$A32,Persistance!$D:$D,J$5,Persistance!$A:$A,"Business")*1000</f>
        <v>0</v>
      </c>
      <c r="K32" s="51">
        <f ca="1">SUMIFS(OFFSET(Persistance!$K:$K,0,$A$2-Persistance!$K$1),Persistance!$B:$B,$A32,Persistance!$D:$D,K$5,Persistance!$A:$A,"Business")*1000</f>
        <v>0</v>
      </c>
      <c r="L32" s="34">
        <f ca="1">SUM(B32:K32)</f>
        <v>0</v>
      </c>
      <c r="M32" s="34"/>
      <c r="N32" s="34"/>
      <c r="O32" s="36"/>
      <c r="P32" s="36"/>
      <c r="Q32" s="36"/>
      <c r="R32" s="2"/>
      <c r="S32" s="2"/>
      <c r="T32" s="2"/>
      <c r="U32" s="2"/>
    </row>
    <row r="33" spans="1:21" x14ac:dyDescent="0.25">
      <c r="A33" s="23" t="s">
        <v>67</v>
      </c>
      <c r="B33" s="51">
        <f ca="1">SUMIFS(OFFSET(Persistance!$K:$K,0,$A$2-Persistance!$K$1),Persistance!$B:$B,$A33,Persistance!$D:$D,B$5,Persistance!$A:$A,"Business")*1000</f>
        <v>0</v>
      </c>
      <c r="C33" s="51">
        <f ca="1">SUMIFS(OFFSET(Persistance!$K:$K,0,$A$2-Persistance!$K$1),Persistance!$B:$B,$A33,Persistance!$D:$D,C$5,Persistance!$A:$A,"Business")*1000</f>
        <v>0</v>
      </c>
      <c r="D33" s="51">
        <f ca="1">SUMIFS(OFFSET(Persistance!$K:$K,0,$A$2-Persistance!$K$1),Persistance!$B:$B,$A33,Persistance!$D:$D,D$5,Persistance!$A:$A,"Business")*1000</f>
        <v>0</v>
      </c>
      <c r="E33" s="51">
        <f ca="1">SUMIFS(OFFSET(Persistance!$K:$K,0,$A$2-Persistance!$K$1),Persistance!$B:$B,$A33,Persistance!$D:$D,E$5,Persistance!$A:$A,"Business")*1000</f>
        <v>0</v>
      </c>
      <c r="F33" s="51">
        <f ca="1">SUMIFS(OFFSET(Persistance!$K:$K,0,$A$2-Persistance!$K$1),Persistance!$B:$B,$A33,Persistance!$D:$D,F$5,Persistance!$A:$A,"Business")*1000</f>
        <v>0</v>
      </c>
      <c r="G33" s="51">
        <f ca="1">SUMIFS(OFFSET(Persistance!$K:$K,0,$A$2-Persistance!$K$1),Persistance!$B:$B,$A33,Persistance!$D:$D,G$5,Persistance!$A:$A,"Business")*1000</f>
        <v>0</v>
      </c>
      <c r="H33" s="51">
        <f ca="1">SUMIFS(OFFSET(Persistance!$K:$K,0,$A$2-Persistance!$K$1),Persistance!$B:$B,$A33,Persistance!$D:$D,H$5,Persistance!$A:$A,"Business")*1000</f>
        <v>0</v>
      </c>
      <c r="I33" s="51">
        <f ca="1">SUMIFS(OFFSET(Persistance!$K:$K,0,$A$2-Persistance!$K$1),Persistance!$B:$B,$A33,Persistance!$D:$D,I$5,Persistance!$A:$A,"Business")*1000</f>
        <v>0</v>
      </c>
      <c r="J33" s="51">
        <f ca="1">SUMIFS(OFFSET(Persistance!$K:$K,0,$A$2-Persistance!$K$1),Persistance!$B:$B,$A33,Persistance!$D:$D,J$5,Persistance!$A:$A,"Business")*1000</f>
        <v>0</v>
      </c>
      <c r="K33" s="51">
        <f ca="1">SUMIFS(OFFSET(Persistance!$K:$K,0,$A$2-Persistance!$K$1),Persistance!$B:$B,$A33,Persistance!$D:$D,K$5,Persistance!$A:$A,"Business")*1000</f>
        <v>0</v>
      </c>
      <c r="L33" s="34">
        <f t="shared" ref="L33:L48" ca="1" si="4">SUM(B33:K33)</f>
        <v>0</v>
      </c>
      <c r="M33" s="34"/>
      <c r="N33" s="34"/>
      <c r="O33" s="36"/>
      <c r="P33" s="36"/>
      <c r="Q33" s="36"/>
      <c r="R33" s="2"/>
      <c r="S33" s="2"/>
      <c r="T33" s="2"/>
      <c r="U33" s="2"/>
    </row>
    <row r="34" spans="1:21" x14ac:dyDescent="0.25">
      <c r="A34" s="23" t="s">
        <v>66</v>
      </c>
      <c r="B34" s="51">
        <f ca="1">SUMIFS(OFFSET(Persistance!$K:$K,0,$A$2-Persistance!$K$1),Persistance!$B:$B,$A34,Persistance!$D:$D,B$5,Persistance!$A:$A,"Business")*1000</f>
        <v>0</v>
      </c>
      <c r="C34" s="51">
        <f ca="1">SUMIFS(OFFSET(Persistance!$K:$K,0,$A$2-Persistance!$K$1),Persistance!$B:$B,$A34,Persistance!$D:$D,C$5,Persistance!$A:$A,"Business")*1000</f>
        <v>0</v>
      </c>
      <c r="D34" s="51">
        <f ca="1">SUMIFS(OFFSET(Persistance!$K:$K,0,$A$2-Persistance!$K$1),Persistance!$B:$B,$A34,Persistance!$D:$D,D$5,Persistance!$A:$A,"Business")*1000</f>
        <v>0</v>
      </c>
      <c r="E34" s="51">
        <f ca="1">SUMIFS(OFFSET(Persistance!$K:$K,0,$A$2-Persistance!$K$1),Persistance!$B:$B,$A34,Persistance!$D:$D,E$5,Persistance!$A:$A,"Business")*1000</f>
        <v>0</v>
      </c>
      <c r="F34" s="51">
        <f ca="1">SUMIFS(OFFSET(Persistance!$K:$K,0,$A$2-Persistance!$K$1),Persistance!$B:$B,$A34,Persistance!$D:$D,F$5,Persistance!$A:$A,"Business")*1000</f>
        <v>0</v>
      </c>
      <c r="G34" s="51">
        <f ca="1">SUMIFS(OFFSET(Persistance!$K:$K,0,$A$2-Persistance!$K$1),Persistance!$B:$B,$A34,Persistance!$D:$D,G$5,Persistance!$A:$A,"Business")*1000</f>
        <v>0</v>
      </c>
      <c r="H34" s="51">
        <f ca="1">SUMIFS(OFFSET(Persistance!$K:$K,0,$A$2-Persistance!$K$1),Persistance!$B:$B,$A34,Persistance!$D:$D,H$5,Persistance!$A:$A,"Business")*1000</f>
        <v>0</v>
      </c>
      <c r="I34" s="51">
        <f ca="1">SUMIFS(OFFSET(Persistance!$K:$K,0,$A$2-Persistance!$K$1),Persistance!$B:$B,$A34,Persistance!$D:$D,I$5,Persistance!$A:$A,"Business")*1000</f>
        <v>0</v>
      </c>
      <c r="J34" s="51">
        <f ca="1">SUMIFS(OFFSET(Persistance!$K:$K,0,$A$2-Persistance!$K$1),Persistance!$B:$B,$A34,Persistance!$D:$D,J$5,Persistance!$A:$A,"Business")*1000</f>
        <v>0</v>
      </c>
      <c r="K34" s="51">
        <f ca="1">SUMIFS(OFFSET(Persistance!$K:$K,0,$A$2-Persistance!$K$1),Persistance!$B:$B,$A34,Persistance!$D:$D,K$5,Persistance!$A:$A,"Business")*1000</f>
        <v>0</v>
      </c>
      <c r="L34" s="34">
        <f t="shared" ca="1" si="4"/>
        <v>0</v>
      </c>
      <c r="M34" s="34"/>
      <c r="N34" s="34"/>
      <c r="O34" s="36"/>
      <c r="P34" s="36"/>
      <c r="Q34" s="36"/>
      <c r="R34" s="2"/>
      <c r="S34" s="2"/>
      <c r="T34" s="2"/>
      <c r="U34" s="2"/>
    </row>
    <row r="35" spans="1:21" x14ac:dyDescent="0.25">
      <c r="A35" s="23" t="s">
        <v>43</v>
      </c>
      <c r="B35" s="51">
        <f ca="1">SUMIFS(OFFSET(Persistance!$K:$K,0,$A$2-Persistance!$K$1),Persistance!$B:$B,$A35,Persistance!$D:$D,B$5,Persistance!$A:$A,"Business")*1000</f>
        <v>0</v>
      </c>
      <c r="C35" s="51">
        <f ca="1">SUMIFS(OFFSET(Persistance!$K:$K,0,$A$2-Persistance!$K$1),Persistance!$B:$B,$A35,Persistance!$D:$D,C$5,Persistance!$A:$A,"Business")*1000</f>
        <v>0</v>
      </c>
      <c r="D35" s="51">
        <f ca="1">SUMIFS(OFFSET(Persistance!$K:$K,0,$A$2-Persistance!$K$1),Persistance!$B:$B,$A35,Persistance!$D:$D,D$5,Persistance!$A:$A,"Business")*1000</f>
        <v>0</v>
      </c>
      <c r="E35" s="51">
        <f ca="1">SUMIFS(OFFSET(Persistance!$K:$K,0,$A$2-Persistance!$K$1),Persistance!$B:$B,$A35,Persistance!$D:$D,E$5,Persistance!$A:$A,"Business")*1000</f>
        <v>0</v>
      </c>
      <c r="F35" s="51">
        <f ca="1">SUMIFS(OFFSET(Persistance!$K:$K,0,$A$2-Persistance!$K$1),Persistance!$B:$B,$A35,Persistance!$D:$D,F$5,Persistance!$A:$A,"Business")*1000</f>
        <v>0</v>
      </c>
      <c r="G35" s="51">
        <f ca="1">SUMIFS(OFFSET(Persistance!$K:$K,0,$A$2-Persistance!$K$1),Persistance!$B:$B,$A35,Persistance!$D:$D,G$5,Persistance!$A:$A,"Business")*1000</f>
        <v>0</v>
      </c>
      <c r="H35" s="51">
        <f ca="1">SUMIFS(OFFSET(Persistance!$K:$K,0,$A$2-Persistance!$K$1),Persistance!$B:$B,$A35,Persistance!$D:$D,H$5,Persistance!$A:$A,"Business")*1000</f>
        <v>0</v>
      </c>
      <c r="I35" s="51">
        <f ca="1">SUMIFS(OFFSET(Persistance!$K:$K,0,$A$2-Persistance!$K$1),Persistance!$B:$B,$A35,Persistance!$D:$D,I$5,Persistance!$A:$A,"Business")*1000</f>
        <v>0</v>
      </c>
      <c r="J35" s="51">
        <f ca="1">SUMIFS(OFFSET(Persistance!$K:$K,0,$A$2-Persistance!$K$1),Persistance!$B:$B,$A35,Persistance!$D:$D,J$5,Persistance!$A:$A,"Business")*1000</f>
        <v>0</v>
      </c>
      <c r="K35" s="51">
        <f ca="1">SUMIFS(OFFSET(Persistance!$K:$K,0,$A$2-Persistance!$K$1),Persistance!$B:$B,$A35,Persistance!$D:$D,K$5,Persistance!$A:$A,"Business")*1000</f>
        <v>0</v>
      </c>
      <c r="L35" s="34">
        <f t="shared" ca="1" si="4"/>
        <v>0</v>
      </c>
      <c r="M35" s="34"/>
      <c r="N35" s="34"/>
      <c r="O35" s="36"/>
      <c r="P35" s="36"/>
      <c r="Q35" s="36"/>
      <c r="R35" s="2"/>
      <c r="S35" s="2"/>
      <c r="T35" s="2"/>
      <c r="U35" s="2"/>
    </row>
    <row r="36" spans="1:21" x14ac:dyDescent="0.25">
      <c r="A36" s="23" t="s">
        <v>7</v>
      </c>
      <c r="B36" s="51">
        <f ca="1">SUMIFS(OFFSET(Persistance!$K:$K,0,$A$2-Persistance!$K$1),Persistance!$B:$B,$A36,Persistance!$D:$D,B$5,Persistance!$A:$A,"Business")*1000</f>
        <v>71391.8568888062</v>
      </c>
      <c r="C36" s="51">
        <f ca="1">SUMIFS(OFFSET(Persistance!$K:$K,0,$A$2-Persistance!$K$1),Persistance!$B:$B,$A36,Persistance!$D:$D,C$5,Persistance!$A:$A,"Business")*1000</f>
        <v>315820.16315418592</v>
      </c>
      <c r="D36" s="51">
        <f ca="1">SUMIFS(OFFSET(Persistance!$K:$K,0,$A$2-Persistance!$K$1),Persistance!$B:$B,$A36,Persistance!$D:$D,D$5,Persistance!$A:$A,"Business")*1000</f>
        <v>0</v>
      </c>
      <c r="E36" s="51">
        <f ca="1">SUMIFS(OFFSET(Persistance!$K:$K,0,$A$2-Persistance!$K$1),Persistance!$B:$B,$A36,Persistance!$D:$D,E$5,Persistance!$A:$A,"Business")*1000</f>
        <v>482772.06030000001</v>
      </c>
      <c r="F36" s="51">
        <f ca="1">SUMIFS(OFFSET(Persistance!$K:$K,0,$A$2-Persistance!$K$1),Persistance!$B:$B,$A36,Persistance!$D:$D,F$5,Persistance!$A:$A,"Business")*1000</f>
        <v>0</v>
      </c>
      <c r="G36" s="51">
        <f ca="1">SUMIFS(OFFSET(Persistance!$K:$K,0,$A$2-Persistance!$K$1),Persistance!$B:$B,$A36,Persistance!$D:$D,G$5,Persistance!$A:$A,"Business")*1000</f>
        <v>0</v>
      </c>
      <c r="H36" s="51">
        <f ca="1">SUMIFS(OFFSET(Persistance!$K:$K,0,$A$2-Persistance!$K$1),Persistance!$B:$B,$A36,Persistance!$D:$D,H$5,Persistance!$A:$A,"Business")*1000</f>
        <v>0</v>
      </c>
      <c r="I36" s="51">
        <f ca="1">SUMIFS(OFFSET(Persistance!$K:$K,0,$A$2-Persistance!$K$1),Persistance!$B:$B,$A36,Persistance!$D:$D,I$5,Persistance!$A:$A,"Business")*1000</f>
        <v>0</v>
      </c>
      <c r="J36" s="51">
        <f ca="1">SUMIFS(OFFSET(Persistance!$K:$K,0,$A$2-Persistance!$K$1),Persistance!$B:$B,$A36,Persistance!$D:$D,J$5,Persistance!$A:$A,"Business")*1000</f>
        <v>0</v>
      </c>
      <c r="K36" s="51">
        <f ca="1">SUMIFS(OFFSET(Persistance!$K:$K,0,$A$2-Persistance!$K$1),Persistance!$B:$B,$A36,Persistance!$D:$D,K$5,Persistance!$A:$A,"Business")*1000</f>
        <v>0</v>
      </c>
      <c r="L36" s="34">
        <f t="shared" ca="1" si="4"/>
        <v>869984.08034299221</v>
      </c>
      <c r="M36" s="34"/>
      <c r="N36" s="34"/>
      <c r="O36" s="36"/>
      <c r="P36" s="36"/>
      <c r="Q36" s="36"/>
      <c r="R36" s="2"/>
      <c r="S36" s="2"/>
      <c r="T36" s="2"/>
      <c r="U36" s="2"/>
    </row>
    <row r="37" spans="1:21" x14ac:dyDescent="0.25">
      <c r="A37" s="23" t="s">
        <v>57</v>
      </c>
      <c r="B37" s="51">
        <f ca="1">SUMIFS(OFFSET(Persistance!$K:$K,0,$A$2-Persistance!$K$1),Persistance!$B:$B,$A37,Persistance!$D:$D,B$5,Persistance!$A:$A,"Business")*1000</f>
        <v>0</v>
      </c>
      <c r="C37" s="51">
        <f ca="1">SUMIFS(OFFSET(Persistance!$K:$K,0,$A$2-Persistance!$K$1),Persistance!$B:$B,$A37,Persistance!$D:$D,C$5,Persistance!$A:$A,"Business")*1000</f>
        <v>0</v>
      </c>
      <c r="D37" s="51">
        <f ca="1">SUMIFS(OFFSET(Persistance!$K:$K,0,$A$2-Persistance!$K$1),Persistance!$B:$B,$A37,Persistance!$D:$D,D$5,Persistance!$A:$A,"Business")*1000</f>
        <v>0</v>
      </c>
      <c r="E37" s="51">
        <f ca="1">SUMIFS(OFFSET(Persistance!$K:$K,0,$A$2-Persistance!$K$1),Persistance!$B:$B,$A37,Persistance!$D:$D,E$5,Persistance!$A:$A,"Business")*1000</f>
        <v>0</v>
      </c>
      <c r="F37" s="51">
        <f ca="1">SUMIFS(OFFSET(Persistance!$K:$K,0,$A$2-Persistance!$K$1),Persistance!$B:$B,$A37,Persistance!$D:$D,F$5,Persistance!$A:$A,"Business")*1000</f>
        <v>0</v>
      </c>
      <c r="G37" s="51">
        <f ca="1">SUMIFS(OFFSET(Persistance!$K:$K,0,$A$2-Persistance!$K$1),Persistance!$B:$B,$A37,Persistance!$D:$D,G$5,Persistance!$A:$A,"Business")*1000</f>
        <v>0</v>
      </c>
      <c r="H37" s="51">
        <f ca="1">SUMIFS(OFFSET(Persistance!$K:$K,0,$A$2-Persistance!$K$1),Persistance!$B:$B,$A37,Persistance!$D:$D,H$5,Persistance!$A:$A,"Business")*1000</f>
        <v>0</v>
      </c>
      <c r="I37" s="51">
        <f ca="1">SUMIFS(OFFSET(Persistance!$K:$K,0,$A$2-Persistance!$K$1),Persistance!$B:$B,$A37,Persistance!$D:$D,I$5,Persistance!$A:$A,"Business")*1000</f>
        <v>0</v>
      </c>
      <c r="J37" s="51">
        <f ca="1">SUMIFS(OFFSET(Persistance!$K:$K,0,$A$2-Persistance!$K$1),Persistance!$B:$B,$A37,Persistance!$D:$D,J$5,Persistance!$A:$A,"Business")*1000</f>
        <v>0</v>
      </c>
      <c r="K37" s="51">
        <f ca="1">SUMIFS(OFFSET(Persistance!$K:$K,0,$A$2-Persistance!$K$1),Persistance!$B:$B,$A37,Persistance!$D:$D,K$5,Persistance!$A:$A,"Business")*1000</f>
        <v>0</v>
      </c>
      <c r="L37" s="34">
        <f t="shared" ca="1" si="4"/>
        <v>0</v>
      </c>
      <c r="M37" s="34"/>
      <c r="N37" s="34"/>
      <c r="O37" s="36"/>
      <c r="P37" s="36"/>
      <c r="Q37" s="36"/>
      <c r="R37" s="2"/>
      <c r="S37" s="2"/>
      <c r="T37" s="2"/>
      <c r="U37" s="2"/>
    </row>
    <row r="38" spans="1:21" x14ac:dyDescent="0.25">
      <c r="A38" s="23" t="s">
        <v>70</v>
      </c>
      <c r="B38" s="51">
        <f ca="1">SUMIFS(OFFSET(Persistance!$K:$K,0,$A$2-Persistance!$K$1),Persistance!$B:$B,$A38,Persistance!$D:$D,B$5,Persistance!$A:$A,"Business")*1000</f>
        <v>0</v>
      </c>
      <c r="C38" s="51">
        <f ca="1">SUMIFS(OFFSET(Persistance!$K:$K,0,$A$2-Persistance!$K$1),Persistance!$B:$B,$A38,Persistance!$D:$D,C$5,Persistance!$A:$A,"Business")*1000</f>
        <v>78945.002438389231</v>
      </c>
      <c r="D38" s="51">
        <f ca="1">SUMIFS(OFFSET(Persistance!$K:$K,0,$A$2-Persistance!$K$1),Persistance!$B:$B,$A38,Persistance!$D:$D,D$5,Persistance!$A:$A,"Business")*1000</f>
        <v>64.270189810000005</v>
      </c>
      <c r="E38" s="51">
        <f ca="1">SUMIFS(OFFSET(Persistance!$K:$K,0,$A$2-Persistance!$K$1),Persistance!$B:$B,$A38,Persistance!$D:$D,E$5,Persistance!$A:$A,"Business")*1000</f>
        <v>0</v>
      </c>
      <c r="F38" s="51">
        <f ca="1">SUMIFS(OFFSET(Persistance!$K:$K,0,$A$2-Persistance!$K$1),Persistance!$B:$B,$A38,Persistance!$D:$D,F$5,Persistance!$A:$A,"Business")*1000</f>
        <v>0</v>
      </c>
      <c r="G38" s="51">
        <f ca="1">SUMIFS(OFFSET(Persistance!$K:$K,0,$A$2-Persistance!$K$1),Persistance!$B:$B,$A38,Persistance!$D:$D,G$5,Persistance!$A:$A,"Business")*1000</f>
        <v>0</v>
      </c>
      <c r="H38" s="51">
        <f ca="1">SUMIFS(OFFSET(Persistance!$K:$K,0,$A$2-Persistance!$K$1),Persistance!$B:$B,$A38,Persistance!$D:$D,H$5,Persistance!$A:$A,"Business")*1000</f>
        <v>0</v>
      </c>
      <c r="I38" s="51">
        <f ca="1">SUMIFS(OFFSET(Persistance!$K:$K,0,$A$2-Persistance!$K$1),Persistance!$B:$B,$A38,Persistance!$D:$D,I$5,Persistance!$A:$A,"Business")*1000</f>
        <v>0</v>
      </c>
      <c r="J38" s="51">
        <f ca="1">SUMIFS(OFFSET(Persistance!$K:$K,0,$A$2-Persistance!$K$1),Persistance!$B:$B,$A38,Persistance!$D:$D,J$5,Persistance!$A:$A,"Business")*1000</f>
        <v>0</v>
      </c>
      <c r="K38" s="51">
        <f ca="1">SUMIFS(OFFSET(Persistance!$K:$K,0,$A$2-Persistance!$K$1),Persistance!$B:$B,$A38,Persistance!$D:$D,K$5,Persistance!$A:$A,"Business")*1000</f>
        <v>0</v>
      </c>
      <c r="L38" s="34">
        <f t="shared" ca="1" si="4"/>
        <v>79009.272628199236</v>
      </c>
      <c r="M38" s="34"/>
      <c r="N38" s="34"/>
      <c r="O38" s="36"/>
      <c r="P38" s="36"/>
      <c r="Q38" s="36"/>
      <c r="R38" s="2"/>
      <c r="S38" s="2"/>
      <c r="T38" s="2"/>
      <c r="U38" s="2"/>
    </row>
    <row r="39" spans="1:21" x14ac:dyDescent="0.25">
      <c r="A39" s="23" t="s">
        <v>96</v>
      </c>
      <c r="B39" s="51">
        <f ca="1">SUMIFS(OFFSET(Persistance!$K:$K,0,$A$2-Persistance!$K$1),Persistance!$B:$B,$A39,Persistance!$D:$D,B$5,Persistance!$A:$A,"Business")*1000</f>
        <v>0</v>
      </c>
      <c r="C39" s="51">
        <f ca="1">SUMIFS(OFFSET(Persistance!$K:$K,0,$A$2-Persistance!$K$1),Persistance!$B:$B,$A39,Persistance!$D:$D,C$5,Persistance!$A:$A,"Business")*1000</f>
        <v>25176.254462563</v>
      </c>
      <c r="D39" s="51">
        <f ca="1">SUMIFS(OFFSET(Persistance!$K:$K,0,$A$2-Persistance!$K$1),Persistance!$B:$B,$A39,Persistance!$D:$D,D$5,Persistance!$A:$A,"Business")*1000</f>
        <v>96901.535593948996</v>
      </c>
      <c r="E39" s="51">
        <f ca="1">SUMIFS(OFFSET(Persistance!$K:$K,0,$A$2-Persistance!$K$1),Persistance!$B:$B,$A39,Persistance!$D:$D,E$5,Persistance!$A:$A,"Business")*1000</f>
        <v>0</v>
      </c>
      <c r="F39" s="51">
        <f ca="1">SUMIFS(OFFSET(Persistance!$K:$K,0,$A$2-Persistance!$K$1),Persistance!$B:$B,$A39,Persistance!$D:$D,F$5,Persistance!$A:$A,"Business")*1000</f>
        <v>0</v>
      </c>
      <c r="G39" s="51">
        <f ca="1">SUMIFS(OFFSET(Persistance!$K:$K,0,$A$2-Persistance!$K$1),Persistance!$B:$B,$A39,Persistance!$D:$D,G$5,Persistance!$A:$A,"Business")*1000</f>
        <v>0</v>
      </c>
      <c r="H39" s="51">
        <f ca="1">SUMIFS(OFFSET(Persistance!$K:$K,0,$A$2-Persistance!$K$1),Persistance!$B:$B,$A39,Persistance!$D:$D,H$5,Persistance!$A:$A,"Business")*1000</f>
        <v>0</v>
      </c>
      <c r="I39" s="51">
        <f ca="1">SUMIFS(OFFSET(Persistance!$K:$K,0,$A$2-Persistance!$K$1),Persistance!$B:$B,$A39,Persistance!$D:$D,I$5,Persistance!$A:$A,"Business")*1000</f>
        <v>0</v>
      </c>
      <c r="J39" s="51">
        <f ca="1">SUMIFS(OFFSET(Persistance!$K:$K,0,$A$2-Persistance!$K$1),Persistance!$B:$B,$A39,Persistance!$D:$D,J$5,Persistance!$A:$A,"Business")*1000</f>
        <v>0</v>
      </c>
      <c r="K39" s="51">
        <f ca="1">SUMIFS(OFFSET(Persistance!$K:$K,0,$A$2-Persistance!$K$1),Persistance!$B:$B,$A39,Persistance!$D:$D,K$5,Persistance!$A:$A,"Business")*1000</f>
        <v>0</v>
      </c>
      <c r="L39" s="34">
        <f t="shared" ref="L39" ca="1" si="5">SUM(B39:K39)</f>
        <v>122077.79005651199</v>
      </c>
      <c r="M39" s="34"/>
      <c r="N39" s="34"/>
      <c r="O39" s="36"/>
      <c r="P39" s="36"/>
      <c r="Q39" s="36"/>
      <c r="R39" s="2"/>
      <c r="S39" s="2"/>
      <c r="T39" s="2"/>
      <c r="U39" s="2"/>
    </row>
    <row r="40" spans="1:21" x14ac:dyDescent="0.25">
      <c r="A40" s="23" t="s">
        <v>56</v>
      </c>
      <c r="B40" s="51">
        <f ca="1">SUMIFS(OFFSET(Persistance!$K:$K,0,$A$2-Persistance!$K$1),Persistance!$B:$B,$A40,Persistance!$D:$D,B$5,Persistance!$A:$A,"Business")*1000</f>
        <v>0</v>
      </c>
      <c r="C40" s="51">
        <f ca="1">SUMIFS(OFFSET(Persistance!$K:$K,0,$A$2-Persistance!$K$1),Persistance!$B:$B,$A40,Persistance!$D:$D,C$5,Persistance!$A:$A,"Business")*1000</f>
        <v>0</v>
      </c>
      <c r="D40" s="51">
        <f ca="1">SUMIFS(OFFSET(Persistance!$K:$K,0,$A$2-Persistance!$K$1),Persistance!$B:$B,$A40,Persistance!$D:$D,D$5,Persistance!$A:$A,"Business")*1000</f>
        <v>0</v>
      </c>
      <c r="E40" s="51">
        <f ca="1">SUMIFS(OFFSET(Persistance!$K:$K,0,$A$2-Persistance!$K$1),Persistance!$B:$B,$A40,Persistance!$D:$D,E$5,Persistance!$A:$A,"Business")*1000</f>
        <v>0</v>
      </c>
      <c r="F40" s="51">
        <f ca="1">SUMIFS(OFFSET(Persistance!$K:$K,0,$A$2-Persistance!$K$1),Persistance!$B:$B,$A40,Persistance!$D:$D,F$5,Persistance!$A:$A,"Business")*1000</f>
        <v>0</v>
      </c>
      <c r="G40" s="51">
        <f ca="1">SUMIFS(OFFSET(Persistance!$K:$K,0,$A$2-Persistance!$K$1),Persistance!$B:$B,$A40,Persistance!$D:$D,G$5,Persistance!$A:$A,"Business")*1000</f>
        <v>0</v>
      </c>
      <c r="H40" s="51">
        <f ca="1">SUMIFS(OFFSET(Persistance!$K:$K,0,$A$2-Persistance!$K$1),Persistance!$B:$B,$A40,Persistance!$D:$D,H$5,Persistance!$A:$A,"Business")*1000</f>
        <v>0</v>
      </c>
      <c r="I40" s="51">
        <f ca="1">SUMIFS(OFFSET(Persistance!$K:$K,0,$A$2-Persistance!$K$1),Persistance!$B:$B,$A40,Persistance!$D:$D,I$5,Persistance!$A:$A,"Business")*1000</f>
        <v>0</v>
      </c>
      <c r="J40" s="51">
        <f ca="1">SUMIFS(OFFSET(Persistance!$K:$K,0,$A$2-Persistance!$K$1),Persistance!$B:$B,$A40,Persistance!$D:$D,J$5,Persistance!$A:$A,"Business")*1000</f>
        <v>0</v>
      </c>
      <c r="K40" s="51">
        <f ca="1">SUMIFS(OFFSET(Persistance!$K:$K,0,$A$2-Persistance!$K$1),Persistance!$B:$B,$A40,Persistance!$D:$D,K$5,Persistance!$A:$A,"Business")*1000</f>
        <v>0</v>
      </c>
      <c r="L40" s="34">
        <f t="shared" ca="1" si="4"/>
        <v>0</v>
      </c>
      <c r="M40" s="34"/>
      <c r="N40" s="34"/>
      <c r="O40" s="36"/>
      <c r="P40" s="36"/>
      <c r="Q40" s="36"/>
      <c r="R40" s="2"/>
      <c r="S40" s="2"/>
      <c r="T40" s="2"/>
      <c r="U40" s="2"/>
    </row>
    <row r="41" spans="1:21" x14ac:dyDescent="0.25">
      <c r="A41" s="23" t="s">
        <v>8</v>
      </c>
      <c r="B41" s="51">
        <f ca="1">SUMIFS(OFFSET(Persistance!$K:$K,0,$A$2-Persistance!$K$1),Persistance!$B:$B,$A41,Persistance!$D:$D,B$5,Persistance!$A:$A,"Business")*1000</f>
        <v>0</v>
      </c>
      <c r="C41" s="51">
        <f ca="1">SUMIFS(OFFSET(Persistance!$K:$K,0,$A$2-Persistance!$K$1),Persistance!$B:$B,$A41,Persistance!$D:$D,C$5,Persistance!$A:$A,"Business")*1000</f>
        <v>0</v>
      </c>
      <c r="D41" s="51">
        <f ca="1">SUMIFS(OFFSET(Persistance!$K:$K,0,$A$2-Persistance!$K$1),Persistance!$B:$B,$A41,Persistance!$D:$D,D$5,Persistance!$A:$A,"Business")*1000</f>
        <v>0</v>
      </c>
      <c r="E41" s="51">
        <f ca="1">SUMIFS(OFFSET(Persistance!$K:$K,0,$A$2-Persistance!$K$1),Persistance!$B:$B,$A41,Persistance!$D:$D,E$5,Persistance!$A:$A,"Business")*1000</f>
        <v>0</v>
      </c>
      <c r="F41" s="51">
        <f ca="1">SUMIFS(OFFSET(Persistance!$K:$K,0,$A$2-Persistance!$K$1),Persistance!$B:$B,$A41,Persistance!$D:$D,F$5,Persistance!$A:$A,"Business")*1000</f>
        <v>0</v>
      </c>
      <c r="G41" s="51">
        <f ca="1">SUMIFS(OFFSET(Persistance!$K:$K,0,$A$2-Persistance!$K$1),Persistance!$B:$B,$A41,Persistance!$D:$D,G$5,Persistance!$A:$A,"Business")*1000</f>
        <v>0</v>
      </c>
      <c r="H41" s="51">
        <f ca="1">SUMIFS(OFFSET(Persistance!$K:$K,0,$A$2-Persistance!$K$1),Persistance!$B:$B,$A41,Persistance!$D:$D,H$5,Persistance!$A:$A,"Business")*1000</f>
        <v>0</v>
      </c>
      <c r="I41" s="51">
        <f ca="1">SUMIFS(OFFSET(Persistance!$K:$K,0,$A$2-Persistance!$K$1),Persistance!$B:$B,$A41,Persistance!$D:$D,I$5,Persistance!$A:$A,"Business")*1000</f>
        <v>0</v>
      </c>
      <c r="J41" s="51">
        <f ca="1">SUMIFS(OFFSET(Persistance!$K:$K,0,$A$2-Persistance!$K$1),Persistance!$B:$B,$A41,Persistance!$D:$D,J$5,Persistance!$A:$A,"Business")*1000</f>
        <v>0</v>
      </c>
      <c r="K41" s="51">
        <f ca="1">SUMIFS(OFFSET(Persistance!$K:$K,0,$A$2-Persistance!$K$1),Persistance!$B:$B,$A41,Persistance!$D:$D,K$5,Persistance!$A:$A,"Business")*1000</f>
        <v>0</v>
      </c>
      <c r="L41" s="34">
        <f t="shared" ca="1" si="4"/>
        <v>0</v>
      </c>
      <c r="M41" s="34"/>
      <c r="N41" s="34"/>
      <c r="O41" s="36"/>
      <c r="P41" s="36"/>
      <c r="Q41" s="36"/>
      <c r="R41" s="2"/>
      <c r="S41" s="2"/>
      <c r="T41" s="2"/>
      <c r="U41" s="2"/>
    </row>
    <row r="42" spans="1:21" x14ac:dyDescent="0.25">
      <c r="A42" s="23" t="s">
        <v>58</v>
      </c>
      <c r="B42" s="51">
        <f ca="1">SUMIFS(OFFSET(Persistance!$K:$K,0,$A$2-Persistance!$K$1),Persistance!$B:$B,$A42,Persistance!$D:$D,B$5,Persistance!$A:$A,"Business")*1000</f>
        <v>0</v>
      </c>
      <c r="C42" s="51">
        <f ca="1">SUMIFS(OFFSET(Persistance!$K:$K,0,$A$2-Persistance!$K$1),Persistance!$B:$B,$A42,Persistance!$D:$D,C$5,Persistance!$A:$A,"Business")*1000</f>
        <v>0</v>
      </c>
      <c r="D42" s="51">
        <f ca="1">SUMIFS(OFFSET(Persistance!$K:$K,0,$A$2-Persistance!$K$1),Persistance!$B:$B,$A42,Persistance!$D:$D,D$5,Persistance!$A:$A,"Business")*1000</f>
        <v>0</v>
      </c>
      <c r="E42" s="51">
        <f ca="1">SUMIFS(OFFSET(Persistance!$K:$K,0,$A$2-Persistance!$K$1),Persistance!$B:$B,$A42,Persistance!$D:$D,E$5,Persistance!$A:$A,"Business")*1000</f>
        <v>0</v>
      </c>
      <c r="F42" s="51">
        <f ca="1">SUMIFS(OFFSET(Persistance!$K:$K,0,$A$2-Persistance!$K$1),Persistance!$B:$B,$A42,Persistance!$D:$D,F$5,Persistance!$A:$A,"Business")*1000</f>
        <v>0</v>
      </c>
      <c r="G42" s="51">
        <f ca="1">SUMIFS(OFFSET(Persistance!$K:$K,0,$A$2-Persistance!$K$1),Persistance!$B:$B,$A42,Persistance!$D:$D,G$5,Persistance!$A:$A,"Business")*1000</f>
        <v>0</v>
      </c>
      <c r="H42" s="51">
        <f ca="1">SUMIFS(OFFSET(Persistance!$K:$K,0,$A$2-Persistance!$K$1),Persistance!$B:$B,$A42,Persistance!$D:$D,H$5,Persistance!$A:$A,"Business")*1000</f>
        <v>0</v>
      </c>
      <c r="I42" s="51">
        <f ca="1">SUMIFS(OFFSET(Persistance!$K:$K,0,$A$2-Persistance!$K$1),Persistance!$B:$B,$A42,Persistance!$D:$D,I$5,Persistance!$A:$A,"Business")*1000</f>
        <v>0</v>
      </c>
      <c r="J42" s="51">
        <f ca="1">SUMIFS(OFFSET(Persistance!$K:$K,0,$A$2-Persistance!$K$1),Persistance!$B:$B,$A42,Persistance!$D:$D,J$5,Persistance!$A:$A,"Business")*1000</f>
        <v>0</v>
      </c>
      <c r="K42" s="51">
        <f ca="1">SUMIFS(OFFSET(Persistance!$K:$K,0,$A$2-Persistance!$K$1),Persistance!$B:$B,$A42,Persistance!$D:$D,K$5,Persistance!$A:$A,"Business")*1000</f>
        <v>0</v>
      </c>
      <c r="L42" s="34">
        <f t="shared" ca="1" si="4"/>
        <v>0</v>
      </c>
      <c r="M42" s="34"/>
      <c r="N42" s="34"/>
      <c r="O42" s="36"/>
      <c r="P42" s="36"/>
      <c r="Q42" s="36"/>
      <c r="R42" s="2"/>
      <c r="S42" s="2"/>
      <c r="T42" s="2"/>
      <c r="U42" s="2"/>
    </row>
    <row r="43" spans="1:21" x14ac:dyDescent="0.25">
      <c r="A43" s="23" t="s">
        <v>71</v>
      </c>
      <c r="B43" s="51">
        <f ca="1">SUMIFS(OFFSET(Persistance!$K:$K,0,$A$2-Persistance!$K$1),Persistance!$B:$B,$A43,Persistance!$D:$D,B$5,Persistance!$A:$A,"Business")*1000</f>
        <v>0</v>
      </c>
      <c r="C43" s="51">
        <f ca="1">SUMIFS(OFFSET(Persistance!$K:$K,0,$A$2-Persistance!$K$1),Persistance!$B:$B,$A43,Persistance!$D:$D,C$5,Persistance!$A:$A,"Business")*1000</f>
        <v>0</v>
      </c>
      <c r="D43" s="51">
        <f ca="1">SUMIFS(OFFSET(Persistance!$K:$K,0,$A$2-Persistance!$K$1),Persistance!$B:$B,$A43,Persistance!$D:$D,D$5,Persistance!$A:$A,"Business")*1000</f>
        <v>0</v>
      </c>
      <c r="E43" s="51">
        <f ca="1">SUMIFS(OFFSET(Persistance!$K:$K,0,$A$2-Persistance!$K$1),Persistance!$B:$B,$A43,Persistance!$D:$D,E$5,Persistance!$A:$A,"Business")*1000</f>
        <v>0</v>
      </c>
      <c r="F43" s="51">
        <f ca="1">SUMIFS(OFFSET(Persistance!$K:$K,0,$A$2-Persistance!$K$1),Persistance!$B:$B,$A43,Persistance!$D:$D,F$5,Persistance!$A:$A,"Business")*1000</f>
        <v>0</v>
      </c>
      <c r="G43" s="51">
        <f ca="1">SUMIFS(OFFSET(Persistance!$K:$K,0,$A$2-Persistance!$K$1),Persistance!$B:$B,$A43,Persistance!$D:$D,G$5,Persistance!$A:$A,"Business")*1000</f>
        <v>0</v>
      </c>
      <c r="H43" s="51">
        <f ca="1">SUMIFS(OFFSET(Persistance!$K:$K,0,$A$2-Persistance!$K$1),Persistance!$B:$B,$A43,Persistance!$D:$D,H$5,Persistance!$A:$A,"Business")*1000</f>
        <v>0</v>
      </c>
      <c r="I43" s="51">
        <f ca="1">SUMIFS(OFFSET(Persistance!$K:$K,0,$A$2-Persistance!$K$1),Persistance!$B:$B,$A43,Persistance!$D:$D,I$5,Persistance!$A:$A,"Business")*1000</f>
        <v>0</v>
      </c>
      <c r="J43" s="51">
        <f ca="1">SUMIFS(OFFSET(Persistance!$K:$K,0,$A$2-Persistance!$K$1),Persistance!$B:$B,$A43,Persistance!$D:$D,J$5,Persistance!$A:$A,"Business")*1000</f>
        <v>0</v>
      </c>
      <c r="K43" s="51">
        <f ca="1">SUMIFS(OFFSET(Persistance!$K:$K,0,$A$2-Persistance!$K$1),Persistance!$B:$B,$A43,Persistance!$D:$D,K$5,Persistance!$A:$A,"Business")*1000</f>
        <v>0</v>
      </c>
      <c r="L43" s="34">
        <f t="shared" ca="1" si="4"/>
        <v>0</v>
      </c>
      <c r="M43" s="34"/>
      <c r="N43" s="34"/>
      <c r="O43" s="36"/>
      <c r="P43" s="36"/>
      <c r="Q43" s="36"/>
      <c r="R43" s="2"/>
      <c r="S43" s="2"/>
      <c r="T43" s="2"/>
      <c r="U43" s="2"/>
    </row>
    <row r="44" spans="1:21" x14ac:dyDescent="0.25">
      <c r="A44" s="23" t="s">
        <v>72</v>
      </c>
      <c r="B44" s="51">
        <f ca="1">SUMIFS(OFFSET(Persistance!$K:$K,0,$A$2-Persistance!$K$1),Persistance!$B:$B,$A44,Persistance!$D:$D,B$5,Persistance!$A:$A,"Business")*1000</f>
        <v>0</v>
      </c>
      <c r="C44" s="51">
        <f ca="1">SUMIFS(OFFSET(Persistance!$K:$K,0,$A$2-Persistance!$K$1),Persistance!$B:$B,$A44,Persistance!$D:$D,C$5,Persistance!$A:$A,"Business")*1000</f>
        <v>0</v>
      </c>
      <c r="D44" s="51">
        <f ca="1">SUMIFS(OFFSET(Persistance!$K:$K,0,$A$2-Persistance!$K$1),Persistance!$B:$B,$A44,Persistance!$D:$D,D$5,Persistance!$A:$A,"Business")*1000</f>
        <v>0</v>
      </c>
      <c r="E44" s="51">
        <f ca="1">SUMIFS(OFFSET(Persistance!$K:$K,0,$A$2-Persistance!$K$1),Persistance!$B:$B,$A44,Persistance!$D:$D,E$5,Persistance!$A:$A,"Business")*1000</f>
        <v>0</v>
      </c>
      <c r="F44" s="51">
        <f ca="1">SUMIFS(OFFSET(Persistance!$K:$K,0,$A$2-Persistance!$K$1),Persistance!$B:$B,$A44,Persistance!$D:$D,F$5,Persistance!$A:$A,"Business")*1000</f>
        <v>0</v>
      </c>
      <c r="G44" s="51">
        <f ca="1">SUMIFS(OFFSET(Persistance!$K:$K,0,$A$2-Persistance!$K$1),Persistance!$B:$B,$A44,Persistance!$D:$D,G$5,Persistance!$A:$A,"Business")*1000</f>
        <v>0</v>
      </c>
      <c r="H44" s="51">
        <f ca="1">SUMIFS(OFFSET(Persistance!$K:$K,0,$A$2-Persistance!$K$1),Persistance!$B:$B,$A44,Persistance!$D:$D,H$5,Persistance!$A:$A,"Business")*1000</f>
        <v>0</v>
      </c>
      <c r="I44" s="51">
        <f ca="1">SUMIFS(OFFSET(Persistance!$K:$K,0,$A$2-Persistance!$K$1),Persistance!$B:$B,$A44,Persistance!$D:$D,I$5,Persistance!$A:$A,"Business")*1000</f>
        <v>0</v>
      </c>
      <c r="J44" s="51">
        <f ca="1">SUMIFS(OFFSET(Persistance!$K:$K,0,$A$2-Persistance!$K$1),Persistance!$B:$B,$A44,Persistance!$D:$D,J$5,Persistance!$A:$A,"Business")*1000</f>
        <v>0</v>
      </c>
      <c r="K44" s="51">
        <f ca="1">SUMIFS(OFFSET(Persistance!$K:$K,0,$A$2-Persistance!$K$1),Persistance!$B:$B,$A44,Persistance!$D:$D,K$5,Persistance!$A:$A,"Business")*1000</f>
        <v>0</v>
      </c>
      <c r="L44" s="34">
        <f t="shared" ca="1" si="4"/>
        <v>0</v>
      </c>
      <c r="M44" s="34"/>
      <c r="N44" s="34"/>
      <c r="O44" s="36"/>
      <c r="P44" s="36"/>
      <c r="Q44" s="36"/>
      <c r="R44" s="2"/>
      <c r="S44" s="2"/>
      <c r="T44" s="2"/>
      <c r="U44" s="2"/>
    </row>
    <row r="45" spans="1:21" x14ac:dyDescent="0.25">
      <c r="A45" s="23" t="s">
        <v>69</v>
      </c>
      <c r="B45" s="51">
        <f ca="1">SUMIFS(OFFSET(Persistance!$K:$K,0,$A$2-Persistance!$K$1),Persistance!$B:$B,$A45,Persistance!$D:$D,B$5,Persistance!$A:$A,"Business")*1000</f>
        <v>0</v>
      </c>
      <c r="C45" s="51">
        <f ca="1">SUMIFS(OFFSET(Persistance!$K:$K,0,$A$2-Persistance!$K$1),Persistance!$B:$B,$A45,Persistance!$D:$D,C$5,Persistance!$A:$A,"Business")*1000</f>
        <v>0</v>
      </c>
      <c r="D45" s="51">
        <f ca="1">SUMIFS(OFFSET(Persistance!$K:$K,0,$A$2-Persistance!$K$1),Persistance!$B:$B,$A45,Persistance!$D:$D,D$5,Persistance!$A:$A,"Business")*1000</f>
        <v>0</v>
      </c>
      <c r="E45" s="51">
        <f ca="1">SUMIFS(OFFSET(Persistance!$K:$K,0,$A$2-Persistance!$K$1),Persistance!$B:$B,$A45,Persistance!$D:$D,E$5,Persistance!$A:$A,"Business")*1000</f>
        <v>0</v>
      </c>
      <c r="F45" s="51">
        <f ca="1">SUMIFS(OFFSET(Persistance!$K:$K,0,$A$2-Persistance!$K$1),Persistance!$B:$B,$A45,Persistance!$D:$D,F$5,Persistance!$A:$A,"Business")*1000</f>
        <v>0</v>
      </c>
      <c r="G45" s="51">
        <f ca="1">SUMIFS(OFFSET(Persistance!$K:$K,0,$A$2-Persistance!$K$1),Persistance!$B:$B,$A45,Persistance!$D:$D,G$5,Persistance!$A:$A,"Business")*1000</f>
        <v>0</v>
      </c>
      <c r="H45" s="51">
        <f ca="1">SUMIFS(OFFSET(Persistance!$K:$K,0,$A$2-Persistance!$K$1),Persistance!$B:$B,$A45,Persistance!$D:$D,H$5,Persistance!$A:$A,"Business")*1000</f>
        <v>0</v>
      </c>
      <c r="I45" s="51">
        <f ca="1">SUMIFS(OFFSET(Persistance!$K:$K,0,$A$2-Persistance!$K$1),Persistance!$B:$B,$A45,Persistance!$D:$D,I$5,Persistance!$A:$A,"Business")*1000</f>
        <v>0</v>
      </c>
      <c r="J45" s="51">
        <f ca="1">SUMIFS(OFFSET(Persistance!$K:$K,0,$A$2-Persistance!$K$1),Persistance!$B:$B,$A45,Persistance!$D:$D,J$5,Persistance!$A:$A,"Business")*1000</f>
        <v>0</v>
      </c>
      <c r="K45" s="51">
        <f ca="1">SUMIFS(OFFSET(Persistance!$K:$K,0,$A$2-Persistance!$K$1),Persistance!$B:$B,$A45,Persistance!$D:$D,K$5,Persistance!$A:$A,"Business")*1000</f>
        <v>0</v>
      </c>
      <c r="L45" s="34">
        <f t="shared" ca="1" si="4"/>
        <v>0</v>
      </c>
      <c r="M45" s="34"/>
      <c r="N45" s="34"/>
      <c r="O45" s="36"/>
      <c r="P45" s="36"/>
      <c r="Q45" s="36"/>
      <c r="R45" s="2"/>
      <c r="S45" s="2"/>
      <c r="T45" s="2"/>
      <c r="U45" s="2"/>
    </row>
    <row r="46" spans="1:21" x14ac:dyDescent="0.25">
      <c r="A46" s="23" t="s">
        <v>14</v>
      </c>
      <c r="B46" s="51">
        <f ca="1">SUMIFS(OFFSET(Persistance!$K:$K,0,$A$2-Persistance!$K$1),Persistance!$B:$B,$A46,Persistance!$D:$D,B$5)*1000*'Retrofit Split'!B$2</f>
        <v>0</v>
      </c>
      <c r="C46" s="51">
        <f ca="1">SUMIFS(OFFSET(Persistance!$K:$K,0,$A$2-Persistance!$K$1),Persistance!$B:$B,$A46,Persistance!$D:$D,C$5)*1000*'Retrofit Split'!C$2</f>
        <v>0</v>
      </c>
      <c r="D46" s="51">
        <f ca="1">SUMIFS(OFFSET(Persistance!$K:$K,0,$A$2-Persistance!$K$1),Persistance!$B:$B,$A46,Persistance!$D:$D,D$5)*1000*'Retrofit Split'!D$2</f>
        <v>20517.911097739776</v>
      </c>
      <c r="E46" s="51">
        <f ca="1">SUMIFS(OFFSET(Persistance!$K:$K,0,$A$2-Persistance!$K$1),Persistance!$B:$B,$A46,Persistance!$D:$D,E$5)*1000*'Retrofit Split'!E$2</f>
        <v>289101.91342450766</v>
      </c>
      <c r="F46" s="51">
        <f ca="1">SUMIFS(OFFSET(Persistance!$K:$K,0,$A$2-Persistance!$K$1),Persistance!$B:$B,$A46,Persistance!$D:$D,F$5)*1000*'Retrofit Split'!F$2</f>
        <v>0</v>
      </c>
      <c r="G46" s="51">
        <f ca="1">SUMIFS(OFFSET(Persistance!$K:$K,0,$A$2-Persistance!$K$1),Persistance!$B:$B,$A46,Persistance!$D:$D,G$5)*1000*'Retrofit Split'!G$2</f>
        <v>0</v>
      </c>
      <c r="H46" s="51">
        <f ca="1">SUMIFS(OFFSET(Persistance!$K:$K,0,$A$2-Persistance!$K$1),Persistance!$B:$B,$A46,Persistance!$D:$D,H$5)*1000*'Retrofit Split'!H$2</f>
        <v>0</v>
      </c>
      <c r="I46" s="51">
        <f ca="1">SUMIFS(OFFSET(Persistance!$K:$K,0,$A$2-Persistance!$K$1),Persistance!$B:$B,$A46,Persistance!$D:$D,I$5)*1000*'Retrofit Split'!I$2</f>
        <v>0</v>
      </c>
      <c r="J46" s="51">
        <f ca="1">SUMIFS(OFFSET(Persistance!$K:$K,0,$A$2-Persistance!$K$1),Persistance!$B:$B,$A46,Persistance!$D:$D,J$5)*1000*'Retrofit Split'!J$2</f>
        <v>0</v>
      </c>
      <c r="K46" s="51">
        <f ca="1">SUMIFS(OFFSET(Persistance!$K:$K,0,$A$2-Persistance!$K$1),Persistance!$B:$B,$A46,Persistance!$D:$D,K$5)*1000*'Retrofit Split'!K$2</f>
        <v>0</v>
      </c>
      <c r="L46" s="34">
        <f t="shared" ca="1" si="4"/>
        <v>309619.82452224742</v>
      </c>
      <c r="M46" s="34"/>
      <c r="N46" s="34"/>
      <c r="O46" s="36"/>
      <c r="P46" s="36"/>
      <c r="Q46" s="36"/>
      <c r="R46" s="2"/>
      <c r="S46" s="2"/>
      <c r="T46" s="2"/>
      <c r="U46" s="2"/>
    </row>
    <row r="47" spans="1:21" x14ac:dyDescent="0.25">
      <c r="A47" s="23" t="s">
        <v>73</v>
      </c>
      <c r="B47" s="51">
        <f ca="1">SUMIFS(OFFSET(Persistance!$K:$K,0,$A$2-Persistance!$K$1),Persistance!$B:$B,$A47,Persistance!$D:$D,B$5,Persistance!$A:$A,"Business")*1000</f>
        <v>0</v>
      </c>
      <c r="C47" s="51">
        <f ca="1">SUMIFS(OFFSET(Persistance!$K:$K,0,$A$2-Persistance!$K$1),Persistance!$B:$B,$A47,Persistance!$D:$D,C$5,Persistance!$A:$A,"Business")*1000</f>
        <v>0</v>
      </c>
      <c r="D47" s="51">
        <f ca="1">SUMIFS(OFFSET(Persistance!$K:$K,0,$A$2-Persistance!$K$1),Persistance!$B:$B,$A47,Persistance!$D:$D,D$5,Persistance!$A:$A,"Business")*1000</f>
        <v>310069.48845646001</v>
      </c>
      <c r="E47" s="51">
        <f ca="1">SUMIFS(OFFSET(Persistance!$K:$K,0,$A$2-Persistance!$K$1),Persistance!$B:$B,$A47,Persistance!$D:$D,E$5,Persistance!$A:$A,"Business")*1000</f>
        <v>0</v>
      </c>
      <c r="F47" s="51">
        <f ca="1">SUMIFS(OFFSET(Persistance!$K:$K,0,$A$2-Persistance!$K$1),Persistance!$B:$B,$A47,Persistance!$D:$D,F$5,Persistance!$A:$A,"Business")*1000</f>
        <v>0</v>
      </c>
      <c r="G47" s="51">
        <f ca="1">SUMIFS(OFFSET(Persistance!$K:$K,0,$A$2-Persistance!$K$1),Persistance!$B:$B,$A47,Persistance!$D:$D,G$5,Persistance!$A:$A,"Business")*1000</f>
        <v>0</v>
      </c>
      <c r="H47" s="51">
        <f ca="1">SUMIFS(OFFSET(Persistance!$K:$K,0,$A$2-Persistance!$K$1),Persistance!$B:$B,$A47,Persistance!$D:$D,H$5,Persistance!$A:$A,"Business")*1000</f>
        <v>0</v>
      </c>
      <c r="I47" s="51">
        <f ca="1">SUMIFS(OFFSET(Persistance!$K:$K,0,$A$2-Persistance!$K$1),Persistance!$B:$B,$A47,Persistance!$D:$D,I$5,Persistance!$A:$A,"Business")*1000</f>
        <v>0</v>
      </c>
      <c r="J47" s="51">
        <f ca="1">SUMIFS(OFFSET(Persistance!$K:$K,0,$A$2-Persistance!$K$1),Persistance!$B:$B,$A47,Persistance!$D:$D,J$5,Persistance!$A:$A,"Business")*1000</f>
        <v>0</v>
      </c>
      <c r="K47" s="51">
        <f ca="1">SUMIFS(OFFSET(Persistance!$K:$K,0,$A$2-Persistance!$K$1),Persistance!$B:$B,$A47,Persistance!$D:$D,K$5,Persistance!$A:$A,"Business")*1000</f>
        <v>0</v>
      </c>
      <c r="L47" s="34">
        <f t="shared" ca="1" si="4"/>
        <v>310069.48845646001</v>
      </c>
      <c r="M47" s="34"/>
      <c r="N47" s="34"/>
      <c r="O47" s="36"/>
      <c r="P47" s="36"/>
      <c r="Q47" s="36"/>
      <c r="R47" s="2"/>
      <c r="S47" s="2"/>
      <c r="T47" s="2"/>
      <c r="U47" s="2"/>
    </row>
    <row r="48" spans="1:21" x14ac:dyDescent="0.25">
      <c r="A48" s="23" t="s">
        <v>36</v>
      </c>
      <c r="B48" s="51">
        <f ca="1">SUMIFS(OFFSET(Persistance!$K:$K,0,$A$2-Persistance!$K$1),Persistance!$B:$B,$A48,Persistance!$D:$D,B$5,Persistance!$A:$A,"Business")*1000</f>
        <v>0</v>
      </c>
      <c r="C48" s="51">
        <f ca="1">SUMIFS(OFFSET(Persistance!$K:$K,0,$A$2-Persistance!$K$1),Persistance!$B:$B,$A48,Persistance!$D:$D,C$5,Persistance!$A:$A,"Business")*1000</f>
        <v>0</v>
      </c>
      <c r="D48" s="51">
        <f ca="1">SUMIFS(OFFSET(Persistance!$K:$K,0,$A$2-Persistance!$K$1),Persistance!$B:$B,$A48,Persistance!$D:$D,D$5,Persistance!$A:$A,"Business")*1000</f>
        <v>0</v>
      </c>
      <c r="E48" s="51">
        <f ca="1">SUMIFS(OFFSET(Persistance!$K:$K,0,$A$2-Persistance!$K$1),Persistance!$B:$B,$A48,Persistance!$D:$D,E$5,Persistance!$A:$A,"Business")*1000</f>
        <v>0</v>
      </c>
      <c r="F48" s="51">
        <f ca="1">SUMIFS(OFFSET(Persistance!$K:$K,0,$A$2-Persistance!$K$1),Persistance!$B:$B,$A48,Persistance!$D:$D,F$5,Persistance!$A:$A,"Business")*1000</f>
        <v>0</v>
      </c>
      <c r="G48" s="51">
        <f ca="1">SUMIFS(OFFSET(Persistance!$K:$K,0,$A$2-Persistance!$K$1),Persistance!$B:$B,$A48,Persistance!$D:$D,G$5,Persistance!$A:$A,"Business")*1000</f>
        <v>0</v>
      </c>
      <c r="H48" s="51">
        <f ca="1">SUMIFS(OFFSET(Persistance!$K:$K,0,$A$2-Persistance!$K$1),Persistance!$B:$B,$A48,Persistance!$D:$D,H$5,Persistance!$A:$A,"Business")*1000</f>
        <v>0</v>
      </c>
      <c r="I48" s="51">
        <f ca="1">SUMIFS(OFFSET(Persistance!$K:$K,0,$A$2-Persistance!$K$1),Persistance!$B:$B,$A48,Persistance!$D:$D,I$5,Persistance!$A:$A,"Business")*1000</f>
        <v>0</v>
      </c>
      <c r="J48" s="51">
        <f ca="1">SUMIFS(OFFSET(Persistance!$K:$K,0,$A$2-Persistance!$K$1),Persistance!$B:$B,$A48,Persistance!$D:$D,J$5,Persistance!$A:$A,"Business")*1000</f>
        <v>0</v>
      </c>
      <c r="K48" s="51">
        <f ca="1">SUMIFS(OFFSET(Persistance!$K:$K,0,$A$2-Persistance!$K$1),Persistance!$B:$B,$A48,Persistance!$D:$D,K$5,Persistance!$A:$A,"Business")*1000</f>
        <v>0</v>
      </c>
      <c r="L48" s="34">
        <f t="shared" ca="1" si="4"/>
        <v>0</v>
      </c>
      <c r="M48" s="34"/>
      <c r="N48" s="34"/>
      <c r="O48" s="36"/>
      <c r="P48" s="36"/>
      <c r="Q48" s="36"/>
      <c r="R48" s="2"/>
      <c r="S48" s="28" t="s">
        <v>49</v>
      </c>
      <c r="T48" s="28" t="s">
        <v>17</v>
      </c>
      <c r="U48" s="2" t="s">
        <v>50</v>
      </c>
    </row>
    <row r="49" spans="1:21" x14ac:dyDescent="0.25">
      <c r="B49" s="29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5"/>
      <c r="O49" s="36"/>
      <c r="P49" s="36"/>
      <c r="Q49" s="36"/>
      <c r="R49" s="2"/>
      <c r="S49" s="29">
        <f ca="1">$A$2</f>
        <v>2014</v>
      </c>
      <c r="T49" s="50">
        <f ca="1">AVERAGEIFS(Rates!E:E,Rates!F:F,'2014'!S49,Rates!G:G,"Business")</f>
        <v>1.5299999999999999E-2</v>
      </c>
      <c r="U49" s="30">
        <f ca="1">AVERAGEIFS(Rates!B:B,Rates!F:F,'2014'!S49,Rates!G:G,"Business")</f>
        <v>41760</v>
      </c>
    </row>
    <row r="50" spans="1:21" x14ac:dyDescent="0.25">
      <c r="A50" t="s">
        <v>10</v>
      </c>
      <c r="B50" s="64">
        <f t="shared" ref="B50:L50" ca="1" si="6">SUM(B32:B49)</f>
        <v>71391.8568888062</v>
      </c>
      <c r="C50" s="64">
        <f t="shared" ca="1" si="6"/>
        <v>419941.42005513818</v>
      </c>
      <c r="D50" s="64">
        <f t="shared" ca="1" si="6"/>
        <v>427553.20533795876</v>
      </c>
      <c r="E50" s="64">
        <f t="shared" ca="1" si="6"/>
        <v>771873.97372450773</v>
      </c>
      <c r="F50" s="64">
        <f t="shared" ca="1" si="6"/>
        <v>0</v>
      </c>
      <c r="G50" s="64">
        <f t="shared" ca="1" si="6"/>
        <v>0</v>
      </c>
      <c r="H50" s="64">
        <f t="shared" ca="1" si="6"/>
        <v>0</v>
      </c>
      <c r="I50" s="64">
        <f t="shared" ca="1" si="6"/>
        <v>0</v>
      </c>
      <c r="J50" s="64">
        <f t="shared" ca="1" si="6"/>
        <v>0</v>
      </c>
      <c r="K50" s="64">
        <f t="shared" ca="1" si="6"/>
        <v>0</v>
      </c>
      <c r="L50" s="64">
        <f t="shared" ca="1" si="6"/>
        <v>1690760.4560064108</v>
      </c>
      <c r="M50" s="64">
        <f>Summary!$G$7</f>
        <v>308543</v>
      </c>
      <c r="N50" s="64">
        <f ca="1">(((MONTH(U49)-1)/12)*T50)+(((12-(MONTH(U49)-1))/12)*T49)</f>
        <v>1.5199999999999998E-2</v>
      </c>
      <c r="O50" s="64">
        <f ca="1">ROUND(L50*N50,2)</f>
        <v>25699.56</v>
      </c>
      <c r="P50" s="64">
        <f ca="1">ROUND(M50*N50,2)</f>
        <v>4689.8500000000004</v>
      </c>
      <c r="Q50" s="64">
        <f ca="1">+O50-P50</f>
        <v>21009.71</v>
      </c>
      <c r="R50" s="2"/>
      <c r="S50" s="29">
        <f ca="1">S49-1</f>
        <v>2013</v>
      </c>
      <c r="T50" s="50">
        <f ca="1">AVERAGEIFS(Rates!E:E,Rates!F:F,'2014'!S50,Rates!G:G,"Business")</f>
        <v>1.4999999999999999E-2</v>
      </c>
      <c r="U50" s="2"/>
    </row>
    <row r="51" spans="1:21" x14ac:dyDescent="0.25">
      <c r="B51" s="29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5"/>
      <c r="O51" s="36"/>
      <c r="P51" s="36"/>
      <c r="Q51" s="36"/>
      <c r="R51" s="2"/>
      <c r="S51" s="2"/>
      <c r="T51" s="2"/>
      <c r="U51" s="2"/>
    </row>
    <row r="52" spans="1:21" x14ac:dyDescent="0.25">
      <c r="A52" t="s">
        <v>44</v>
      </c>
      <c r="B52" s="51">
        <f ca="1">SUMIFS(OFFSET(Persistance!$F:$F,0,$A$2-Persistance!$K$1),Persistance!$B:$B,'2014'!$A52,Persistance!$D:$D,'2014'!B$5,Persistance!$A:$A,"Industrial")*1000</f>
        <v>0</v>
      </c>
      <c r="C52" s="51">
        <f ca="1">SUMIFS(OFFSET(Persistance!$F:$F,0,$A$2-Persistance!$K$1),Persistance!$B:$B,'2014'!$A52,Persistance!$D:$D,'2014'!C$5,Persistance!$A:$A,"Industrial")*1000</f>
        <v>0</v>
      </c>
      <c r="D52" s="51">
        <f ca="1">SUMIFS(OFFSET(Persistance!$F:$F,0,$A$2-Persistance!$K$1),Persistance!$B:$B,'2014'!$A52,Persistance!$D:$D,'2014'!D$5,Persistance!$A:$A,"Industrial")*1000</f>
        <v>0</v>
      </c>
      <c r="E52" s="51">
        <f ca="1">SUMIFS(OFFSET(Persistance!$F:$F,0,$A$2-Persistance!$K$1),Persistance!$B:$B,'2014'!$A52,Persistance!$D:$D,'2014'!E$5,Persistance!$A:$A,"Industrial")*1000</f>
        <v>0</v>
      </c>
      <c r="F52" s="51">
        <f ca="1">SUMIFS(OFFSET(Persistance!$F:$F,0,$A$2-Persistance!$K$1),Persistance!$B:$B,'2014'!$A52,Persistance!$D:$D,'2014'!F$5,Persistance!$A:$A,"Industrial")*1000</f>
        <v>0</v>
      </c>
      <c r="G52" s="51">
        <f ca="1">SUMIFS(OFFSET(Persistance!$F:$F,0,$A$2-Persistance!$K$1),Persistance!$B:$B,'2014'!$A52,Persistance!$D:$D,'2014'!G$5,Persistance!$A:$A,"Industrial")*1000</f>
        <v>0</v>
      </c>
      <c r="H52" s="51">
        <f ca="1">SUMIFS(OFFSET(Persistance!$F:$F,0,$A$2-Persistance!$K$1),Persistance!$B:$B,'2014'!$A52,Persistance!$D:$D,'2014'!H$5,Persistance!$A:$A,"Industrial")*1000</f>
        <v>0</v>
      </c>
      <c r="I52" s="51">
        <f ca="1">SUMIFS(OFFSET(Persistance!$F:$F,0,$A$2-Persistance!$K$1),Persistance!$B:$B,'2014'!$A52,Persistance!$D:$D,'2014'!I$5,Persistance!$A:$A,"Industrial")*1000</f>
        <v>0</v>
      </c>
      <c r="J52" s="51">
        <f ca="1">SUMIFS(OFFSET(Persistance!$F:$F,0,$A$2-Persistance!$K$1),Persistance!$B:$B,'2014'!$A52,Persistance!$D:$D,'2014'!J$5,Persistance!$A:$A,"Industrial")*1000</f>
        <v>0</v>
      </c>
      <c r="K52" s="51">
        <f ca="1">SUMIFS(OFFSET(Persistance!$F:$F,0,$A$2-Persistance!$K$1),Persistance!$B:$B,'2014'!$A52,Persistance!$D:$D,'2014'!K$5,Persistance!$A:$A,"Industrial")*1000</f>
        <v>0</v>
      </c>
      <c r="L52" s="34">
        <v>0</v>
      </c>
      <c r="M52" s="52" t="s">
        <v>88</v>
      </c>
      <c r="N52" s="35"/>
      <c r="O52" s="36"/>
      <c r="P52" s="36"/>
      <c r="Q52" s="36"/>
      <c r="R52" s="2"/>
      <c r="S52" s="2"/>
      <c r="T52" s="2"/>
      <c r="U52" s="2"/>
    </row>
    <row r="53" spans="1:21" x14ac:dyDescent="0.25">
      <c r="A53" t="s">
        <v>42</v>
      </c>
      <c r="B53" s="51">
        <f ca="1">SUMIFS(OFFSET(Persistance!$F:$F,0,$A$2-Persistance!$K$1),Persistance!$B:$B,'2014'!$A53,Persistance!$D:$D,'2014'!B$5,Persistance!$A:$A,"Industrial")*1000</f>
        <v>0</v>
      </c>
      <c r="C53" s="51">
        <f ca="1">SUMIFS(OFFSET(Persistance!$F:$F,0,$A$2-Persistance!$K$1),Persistance!$B:$B,'2014'!$A53,Persistance!$D:$D,'2014'!C$5,Persistance!$A:$A,"Industrial")*1000</f>
        <v>0</v>
      </c>
      <c r="D53" s="51">
        <f ca="1">SUMIFS(OFFSET(Persistance!$F:$F,0,$A$2-Persistance!$K$1),Persistance!$B:$B,'2014'!$A53,Persistance!$D:$D,'2014'!D$5,Persistance!$A:$A,"Industrial")*1000</f>
        <v>0</v>
      </c>
      <c r="E53" s="51">
        <f ca="1">SUMIFS(OFFSET(Persistance!$F:$F,0,$A$2-Persistance!$K$1),Persistance!$B:$B,'2014'!$A53,Persistance!$D:$D,'2014'!E$5,Persistance!$A:$A,"Industrial")*1000</f>
        <v>0</v>
      </c>
      <c r="F53" s="51">
        <f ca="1">SUMIFS(OFFSET(Persistance!$F:$F,0,$A$2-Persistance!$K$1),Persistance!$B:$B,'2014'!$A53,Persistance!$D:$D,'2014'!F$5,Persistance!$A:$A,"Industrial")*1000</f>
        <v>0</v>
      </c>
      <c r="G53" s="51">
        <f ca="1">SUMIFS(OFFSET(Persistance!$F:$F,0,$A$2-Persistance!$K$1),Persistance!$B:$B,'2014'!$A53,Persistance!$D:$D,'2014'!G$5,Persistance!$A:$A,"Industrial")*1000</f>
        <v>0</v>
      </c>
      <c r="H53" s="51">
        <f ca="1">SUMIFS(OFFSET(Persistance!$F:$F,0,$A$2-Persistance!$K$1),Persistance!$B:$B,'2014'!$A53,Persistance!$D:$D,'2014'!H$5,Persistance!$A:$A,"Industrial")*1000</f>
        <v>0</v>
      </c>
      <c r="I53" s="51">
        <f ca="1">SUMIFS(OFFSET(Persistance!$F:$F,0,$A$2-Persistance!$K$1),Persistance!$B:$B,'2014'!$A53,Persistance!$D:$D,'2014'!I$5,Persistance!$A:$A,"Industrial")*1000</f>
        <v>0</v>
      </c>
      <c r="J53" s="51">
        <f ca="1">SUMIFS(OFFSET(Persistance!$F:$F,0,$A$2-Persistance!$K$1),Persistance!$B:$B,'2014'!$A53,Persistance!$D:$D,'2014'!J$5,Persistance!$A:$A,"Industrial")*1000</f>
        <v>0</v>
      </c>
      <c r="K53" s="51">
        <f ca="1">SUMIFS(OFFSET(Persistance!$F:$F,0,$A$2-Persistance!$K$1),Persistance!$B:$B,'2014'!$A53,Persistance!$D:$D,'2014'!K$5,Persistance!$A:$A,"Industrial")*1000</f>
        <v>0</v>
      </c>
      <c r="L53" s="34">
        <v>0</v>
      </c>
      <c r="M53" s="52" t="s">
        <v>88</v>
      </c>
      <c r="N53" s="35"/>
      <c r="O53" s="36"/>
      <c r="P53" s="36"/>
      <c r="Q53" s="36"/>
      <c r="R53" s="2"/>
      <c r="S53" s="2"/>
      <c r="T53" s="2"/>
      <c r="U53" s="2"/>
    </row>
    <row r="54" spans="1:21" x14ac:dyDescent="0.25">
      <c r="A54" t="s">
        <v>59</v>
      </c>
      <c r="B54" s="51">
        <f ca="1">SUMIFS(OFFSET(Persistance!$F:$F,0,$A$2-Persistance!$K$1),Persistance!$B:$B,'2014'!$A54,Persistance!$D:$D,'2014'!B$5,Persistance!$A:$A,"Industrial")*1000</f>
        <v>0</v>
      </c>
      <c r="C54" s="51">
        <f ca="1">SUMIFS(OFFSET(Persistance!$F:$F,0,$A$2-Persistance!$K$1),Persistance!$B:$B,'2014'!$A54,Persistance!$D:$D,'2014'!C$5,Persistance!$A:$A,"Industrial")*1000</f>
        <v>0</v>
      </c>
      <c r="D54" s="51">
        <f ca="1">SUMIFS(OFFSET(Persistance!$F:$F,0,$A$2-Persistance!$K$1),Persistance!$B:$B,'2014'!$A54,Persistance!$D:$D,'2014'!D$5,Persistance!$A:$A,"Industrial")*1000</f>
        <v>0</v>
      </c>
      <c r="E54" s="51">
        <f ca="1">SUMIFS(OFFSET(Persistance!$F:$F,0,$A$2-Persistance!$K$1),Persistance!$B:$B,'2014'!$A54,Persistance!$D:$D,'2014'!E$5,Persistance!$A:$A,"Industrial")*1000</f>
        <v>0</v>
      </c>
      <c r="F54" s="51">
        <f ca="1">SUMIFS(OFFSET(Persistance!$F:$F,0,$A$2-Persistance!$K$1),Persistance!$B:$B,'2014'!$A54,Persistance!$D:$D,'2014'!F$5,Persistance!$A:$A,"Industrial")*1000</f>
        <v>0</v>
      </c>
      <c r="G54" s="51">
        <f ca="1">SUMIFS(OFFSET(Persistance!$F:$F,0,$A$2-Persistance!$K$1),Persistance!$B:$B,'2014'!$A54,Persistance!$D:$D,'2014'!G$5,Persistance!$A:$A,"Industrial")*1000</f>
        <v>0</v>
      </c>
      <c r="H54" s="51">
        <f ca="1">SUMIFS(OFFSET(Persistance!$F:$F,0,$A$2-Persistance!$K$1),Persistance!$B:$B,'2014'!$A54,Persistance!$D:$D,'2014'!H$5,Persistance!$A:$A,"Industrial")*1000</f>
        <v>0</v>
      </c>
      <c r="I54" s="51">
        <f ca="1">SUMIFS(OFFSET(Persistance!$F:$F,0,$A$2-Persistance!$K$1),Persistance!$B:$B,'2014'!$A54,Persistance!$D:$D,'2014'!I$5,Persistance!$A:$A,"Industrial")*1000</f>
        <v>0</v>
      </c>
      <c r="J54" s="51">
        <f ca="1">SUMIFS(OFFSET(Persistance!$F:$F,0,$A$2-Persistance!$K$1),Persistance!$B:$B,'2014'!$A54,Persistance!$D:$D,'2014'!J$5,Persistance!$A:$A,"Industrial")*1000</f>
        <v>0</v>
      </c>
      <c r="K54" s="51">
        <f ca="1">SUMIFS(OFFSET(Persistance!$F:$F,0,$A$2-Persistance!$K$1),Persistance!$B:$B,'2014'!$A54,Persistance!$D:$D,'2014'!K$5,Persistance!$A:$A,"Industrial")*1000</f>
        <v>0</v>
      </c>
      <c r="L54" s="34">
        <f ca="1">SUM(B54:K54)*3</f>
        <v>0</v>
      </c>
      <c r="M54" s="52" t="s">
        <v>89</v>
      </c>
      <c r="N54" s="35"/>
      <c r="O54" s="36"/>
      <c r="P54" s="36"/>
      <c r="Q54" s="36"/>
      <c r="R54" s="2"/>
      <c r="S54" s="2"/>
      <c r="T54" s="2"/>
      <c r="U54" s="2"/>
    </row>
    <row r="55" spans="1:21" x14ac:dyDescent="0.25">
      <c r="A55" s="23" t="s">
        <v>56</v>
      </c>
      <c r="B55" s="51">
        <f ca="1">SUMIFS(OFFSET(Persistance!$F:$F,0,$A$2-Persistance!$K$1),Persistance!$B:$B,'2014'!$A55,Persistance!$D:$D,'2014'!B$5,Persistance!$A:$A,"Industrial")*1000</f>
        <v>0</v>
      </c>
      <c r="C55" s="51">
        <f ca="1">SUMIFS(OFFSET(Persistance!$F:$F,0,$A$2-Persistance!$K$1),Persistance!$B:$B,'2014'!$A55,Persistance!$D:$D,'2014'!C$5,Persistance!$A:$A,"Industrial")*1000</f>
        <v>0</v>
      </c>
      <c r="D55" s="51">
        <f ca="1">SUMIFS(OFFSET(Persistance!$F:$F,0,$A$2-Persistance!$K$1),Persistance!$B:$B,'2014'!$A55,Persistance!$D:$D,'2014'!D$5,Persistance!$A:$A,"Industrial")*1000</f>
        <v>0</v>
      </c>
      <c r="E55" s="51">
        <f ca="1">SUMIFS(OFFSET(Persistance!$F:$F,0,$A$2-Persistance!$K$1),Persistance!$B:$B,'2014'!$A55,Persistance!$D:$D,'2014'!E$5,Persistance!$A:$A,"Industrial")*1000</f>
        <v>0</v>
      </c>
      <c r="F55" s="51">
        <f ca="1">SUMIFS(OFFSET(Persistance!$F:$F,0,$A$2-Persistance!$K$1),Persistance!$B:$B,'2014'!$A55,Persistance!$D:$D,'2014'!F$5,Persistance!$A:$A,"Industrial")*1000</f>
        <v>0</v>
      </c>
      <c r="G55" s="51">
        <f ca="1">SUMIFS(OFFSET(Persistance!$F:$F,0,$A$2-Persistance!$K$1),Persistance!$B:$B,'2014'!$A55,Persistance!$D:$D,'2014'!G$5,Persistance!$A:$A,"Industrial")*1000</f>
        <v>0</v>
      </c>
      <c r="H55" s="51">
        <f ca="1">SUMIFS(OFFSET(Persistance!$F:$F,0,$A$2-Persistance!$K$1),Persistance!$B:$B,'2014'!$A55,Persistance!$D:$D,'2014'!H$5,Persistance!$A:$A,"Industrial")*1000</f>
        <v>0</v>
      </c>
      <c r="I55" s="51">
        <f ca="1">SUMIFS(OFFSET(Persistance!$F:$F,0,$A$2-Persistance!$K$1),Persistance!$B:$B,'2014'!$A55,Persistance!$D:$D,'2014'!I$5,Persistance!$A:$A,"Industrial")*1000</f>
        <v>0</v>
      </c>
      <c r="J55" s="51">
        <f ca="1">SUMIFS(OFFSET(Persistance!$F:$F,0,$A$2-Persistance!$K$1),Persistance!$B:$B,'2014'!$A55,Persistance!$D:$D,'2014'!J$5,Persistance!$A:$A,"Industrial")*1000</f>
        <v>0</v>
      </c>
      <c r="K55" s="51">
        <f ca="1">SUMIFS(OFFSET(Persistance!$F:$F,0,$A$2-Persistance!$K$1),Persistance!$B:$B,'2014'!$A55,Persistance!$D:$D,'2014'!K$5,Persistance!$A:$A,"Industrial")*1000</f>
        <v>0</v>
      </c>
      <c r="L55" s="34">
        <f t="shared" ref="L55" ca="1" si="7">SUM(B55:K55)*12</f>
        <v>0</v>
      </c>
      <c r="M55" s="34"/>
      <c r="N55" s="35"/>
      <c r="O55" s="36"/>
      <c r="P55" s="36"/>
      <c r="Q55" s="36"/>
      <c r="R55" s="2"/>
      <c r="S55" s="2"/>
      <c r="T55" s="2"/>
      <c r="U55" s="2"/>
    </row>
    <row r="56" spans="1:21" x14ac:dyDescent="0.25">
      <c r="A56" t="s">
        <v>64</v>
      </c>
      <c r="B56" s="51">
        <f ca="1">SUMIFS(OFFSET(Persistance!$F:$F,0,$A$2-Persistance!$K$1),Persistance!$B:$B,'2014'!$A56,Persistance!$D:$D,'2014'!B$5,Persistance!$A:$A,"Industrial")*1000</f>
        <v>0</v>
      </c>
      <c r="C56" s="51">
        <f ca="1">SUMIFS(OFFSET(Persistance!$F:$F,0,$A$2-Persistance!$K$1),Persistance!$B:$B,'2014'!$A56,Persistance!$D:$D,'2014'!C$5,Persistance!$A:$A,"Industrial")*1000</f>
        <v>0</v>
      </c>
      <c r="D56" s="51">
        <f ca="1">SUMIFS(OFFSET(Persistance!$F:$F,0,$A$2-Persistance!$K$1),Persistance!$B:$B,'2014'!$A56,Persistance!$D:$D,'2014'!D$5,Persistance!$A:$A,"Industrial")*1000</f>
        <v>0</v>
      </c>
      <c r="E56" s="51">
        <f ca="1">SUMIFS(OFFSET(Persistance!$F:$F,0,$A$2-Persistance!$K$1),Persistance!$B:$B,'2014'!$A56,Persistance!$D:$D,'2014'!E$5,Persistance!$A:$A,"Industrial")*1000</f>
        <v>0</v>
      </c>
      <c r="F56" s="51">
        <f ca="1">SUMIFS(OFFSET(Persistance!$F:$F,0,$A$2-Persistance!$K$1),Persistance!$B:$B,'2014'!$A56,Persistance!$D:$D,'2014'!F$5,Persistance!$A:$A,"Industrial")*1000</f>
        <v>0</v>
      </c>
      <c r="G56" s="51">
        <f ca="1">SUMIFS(OFFSET(Persistance!$F:$F,0,$A$2-Persistance!$K$1),Persistance!$B:$B,'2014'!$A56,Persistance!$D:$D,'2014'!G$5,Persistance!$A:$A,"Industrial")*1000</f>
        <v>0</v>
      </c>
      <c r="H56" s="51">
        <f ca="1">SUMIFS(OFFSET(Persistance!$F:$F,0,$A$2-Persistance!$K$1),Persistance!$B:$B,'2014'!$A56,Persistance!$D:$D,'2014'!H$5,Persistance!$A:$A,"Industrial")*1000</f>
        <v>0</v>
      </c>
      <c r="I56" s="51">
        <f ca="1">SUMIFS(OFFSET(Persistance!$F:$F,0,$A$2-Persistance!$K$1),Persistance!$B:$B,'2014'!$A56,Persistance!$D:$D,'2014'!I$5,Persistance!$A:$A,"Industrial")*1000</f>
        <v>0</v>
      </c>
      <c r="J56" s="51">
        <f ca="1">SUMIFS(OFFSET(Persistance!$F:$F,0,$A$2-Persistance!$K$1),Persistance!$B:$B,'2014'!$A56,Persistance!$D:$D,'2014'!J$5,Persistance!$A:$A,"Industrial")*1000</f>
        <v>0</v>
      </c>
      <c r="K56" s="51">
        <f ca="1">SUMIFS(OFFSET(Persistance!$F:$F,0,$A$2-Persistance!$K$1),Persistance!$B:$B,'2014'!$A56,Persistance!$D:$D,'2014'!K$5,Persistance!$A:$A,"Industrial")*1000</f>
        <v>0</v>
      </c>
      <c r="L56" s="34">
        <f ca="1">SUM(B56:K56)*12</f>
        <v>0</v>
      </c>
      <c r="M56" s="34"/>
      <c r="N56" s="35"/>
      <c r="O56" s="36"/>
      <c r="P56" s="36"/>
      <c r="Q56" s="36"/>
      <c r="R56" s="2"/>
      <c r="S56" s="2"/>
      <c r="T56" s="2"/>
      <c r="U56" s="2"/>
    </row>
    <row r="57" spans="1:21" x14ac:dyDescent="0.25">
      <c r="A57" s="23" t="s">
        <v>8</v>
      </c>
      <c r="B57" s="51">
        <f ca="1">SUMIFS(OFFSET(Persistance!$F:$F,0,$A$2-Persistance!$K$1),Persistance!$B:$B,'2014'!$A57,Persistance!$D:$D,'2014'!B$5,Persistance!$A:$A,"Industrial")*1000</f>
        <v>0</v>
      </c>
      <c r="C57" s="51">
        <f ca="1">SUMIFS(OFFSET(Persistance!$F:$F,0,$A$2-Persistance!$K$1),Persistance!$B:$B,'2014'!$A57,Persistance!$D:$D,'2014'!C$5,Persistance!$A:$A,"Industrial")*1000</f>
        <v>0</v>
      </c>
      <c r="D57" s="51">
        <f ca="1">SUMIFS(OFFSET(Persistance!$F:$F,0,$A$2-Persistance!$K$1),Persistance!$B:$B,'2014'!$A57,Persistance!$D:$D,'2014'!D$5,Persistance!$A:$A,"Industrial")*1000</f>
        <v>0</v>
      </c>
      <c r="E57" s="51">
        <f ca="1">SUMIFS(OFFSET(Persistance!$F:$F,0,$A$2-Persistance!$K$1),Persistance!$B:$B,'2014'!$A57,Persistance!$D:$D,'2014'!E$5,Persistance!$A:$A,"Industrial")*1000</f>
        <v>0</v>
      </c>
      <c r="F57" s="51">
        <f ca="1">SUMIFS(OFFSET(Persistance!$F:$F,0,$A$2-Persistance!$K$1),Persistance!$B:$B,'2014'!$A57,Persistance!$D:$D,'2014'!F$5,Persistance!$A:$A,"Industrial")*1000</f>
        <v>0</v>
      </c>
      <c r="G57" s="51">
        <f ca="1">SUMIFS(OFFSET(Persistance!$F:$F,0,$A$2-Persistance!$K$1),Persistance!$B:$B,'2014'!$A57,Persistance!$D:$D,'2014'!G$5,Persistance!$A:$A,"Industrial")*1000</f>
        <v>0</v>
      </c>
      <c r="H57" s="51">
        <f ca="1">SUMIFS(OFFSET(Persistance!$F:$F,0,$A$2-Persistance!$K$1),Persistance!$B:$B,'2014'!$A57,Persistance!$D:$D,'2014'!H$5,Persistance!$A:$A,"Industrial")*1000</f>
        <v>0</v>
      </c>
      <c r="I57" s="51">
        <f ca="1">SUMIFS(OFFSET(Persistance!$F:$F,0,$A$2-Persistance!$K$1),Persistance!$B:$B,'2014'!$A57,Persistance!$D:$D,'2014'!I$5,Persistance!$A:$A,"Industrial")*1000</f>
        <v>0</v>
      </c>
      <c r="J57" s="51">
        <f ca="1">SUMIFS(OFFSET(Persistance!$F:$F,0,$A$2-Persistance!$K$1),Persistance!$B:$B,'2014'!$A57,Persistance!$D:$D,'2014'!J$5,Persistance!$A:$A,"Industrial")*1000</f>
        <v>0</v>
      </c>
      <c r="K57" s="51">
        <f ca="1">SUMIFS(OFFSET(Persistance!$F:$F,0,$A$2-Persistance!$K$1),Persistance!$B:$B,'2014'!$A57,Persistance!$D:$D,'2014'!K$5,Persistance!$A:$A,"Industrial")*1000</f>
        <v>0</v>
      </c>
      <c r="L57" s="34">
        <f ca="1">SUM(B57:K57)*12</f>
        <v>0</v>
      </c>
      <c r="M57" s="34"/>
      <c r="N57" s="35"/>
      <c r="O57" s="36"/>
      <c r="P57" s="36"/>
      <c r="Q57" s="36"/>
      <c r="R57" s="2"/>
      <c r="S57" s="2"/>
      <c r="T57" s="2"/>
      <c r="U57" s="2"/>
    </row>
    <row r="58" spans="1:21" x14ac:dyDescent="0.25">
      <c r="A58" t="s">
        <v>61</v>
      </c>
      <c r="B58" s="51">
        <f ca="1">SUMIFS(OFFSET(Persistance!$F:$F,0,$A$2-Persistance!$K$1),Persistance!$B:$B,'2014'!$A58,Persistance!$D:$D,'2014'!B$5,Persistance!$A:$A,"Industrial")*1000</f>
        <v>0</v>
      </c>
      <c r="C58" s="51">
        <f ca="1">SUMIFS(OFFSET(Persistance!$F:$F,0,$A$2-Persistance!$K$1),Persistance!$B:$B,'2014'!$A58,Persistance!$D:$D,'2014'!C$5,Persistance!$A:$A,"Industrial")*1000</f>
        <v>0</v>
      </c>
      <c r="D58" s="51">
        <f ca="1">SUMIFS(OFFSET(Persistance!$F:$F,0,$A$2-Persistance!$K$1),Persistance!$B:$B,'2014'!$A58,Persistance!$D:$D,'2014'!D$5,Persistance!$A:$A,"Industrial")*1000</f>
        <v>0</v>
      </c>
      <c r="E58" s="51">
        <f ca="1">SUMIFS(OFFSET(Persistance!$F:$F,0,$A$2-Persistance!$K$1),Persistance!$B:$B,'2014'!$A58,Persistance!$D:$D,'2014'!E$5,Persistance!$A:$A,"Industrial")*1000</f>
        <v>0</v>
      </c>
      <c r="F58" s="51">
        <f ca="1">SUMIFS(OFFSET(Persistance!$F:$F,0,$A$2-Persistance!$K$1),Persistance!$B:$B,'2014'!$A58,Persistance!$D:$D,'2014'!F$5,Persistance!$A:$A,"Industrial")*1000</f>
        <v>0</v>
      </c>
      <c r="G58" s="51">
        <f ca="1">SUMIFS(OFFSET(Persistance!$F:$F,0,$A$2-Persistance!$K$1),Persistance!$B:$B,'2014'!$A58,Persistance!$D:$D,'2014'!G$5,Persistance!$A:$A,"Industrial")*1000</f>
        <v>0</v>
      </c>
      <c r="H58" s="51">
        <f ca="1">SUMIFS(OFFSET(Persistance!$F:$F,0,$A$2-Persistance!$K$1),Persistance!$B:$B,'2014'!$A58,Persistance!$D:$D,'2014'!H$5,Persistance!$A:$A,"Industrial")*1000</f>
        <v>0</v>
      </c>
      <c r="I58" s="51">
        <f ca="1">SUMIFS(OFFSET(Persistance!$F:$F,0,$A$2-Persistance!$K$1),Persistance!$B:$B,'2014'!$A58,Persistance!$D:$D,'2014'!I$5,Persistance!$A:$A,"Industrial")*1000</f>
        <v>0</v>
      </c>
      <c r="J58" s="51">
        <f ca="1">SUMIFS(OFFSET(Persistance!$F:$F,0,$A$2-Persistance!$K$1),Persistance!$B:$B,'2014'!$A58,Persistance!$D:$D,'2014'!J$5,Persistance!$A:$A,"Industrial")*1000</f>
        <v>0</v>
      </c>
      <c r="K58" s="51">
        <f ca="1">SUMIFS(OFFSET(Persistance!$F:$F,0,$A$2-Persistance!$K$1),Persistance!$B:$B,'2014'!$A58,Persistance!$D:$D,'2014'!K$5,Persistance!$A:$A,"Industrial")*1000</f>
        <v>0</v>
      </c>
      <c r="L58" s="34">
        <f t="shared" ref="L58:L61" ca="1" si="8">SUM(B58:K58)*12</f>
        <v>0</v>
      </c>
      <c r="M58" s="34"/>
      <c r="N58" s="35"/>
      <c r="O58" s="36"/>
      <c r="P58" s="36"/>
      <c r="Q58" s="36"/>
      <c r="R58" s="2"/>
      <c r="S58" s="2"/>
      <c r="T58" s="2"/>
      <c r="U58" s="2"/>
    </row>
    <row r="59" spans="1:21" x14ac:dyDescent="0.25">
      <c r="A59" t="s">
        <v>62</v>
      </c>
      <c r="B59" s="51">
        <f ca="1">SUMIFS(OFFSET(Persistance!$F:$F,0,$A$2-Persistance!$K$1),Persistance!$B:$B,'2014'!$A59,Persistance!$D:$D,'2014'!B$5,Persistance!$A:$A,"Industrial")*1000</f>
        <v>0</v>
      </c>
      <c r="C59" s="51">
        <f ca="1">SUMIFS(OFFSET(Persistance!$F:$F,0,$A$2-Persistance!$K$1),Persistance!$B:$B,'2014'!$A59,Persistance!$D:$D,'2014'!C$5,Persistance!$A:$A,"Industrial")*1000</f>
        <v>0</v>
      </c>
      <c r="D59" s="51">
        <f ca="1">SUMIFS(OFFSET(Persistance!$F:$F,0,$A$2-Persistance!$K$1),Persistance!$B:$B,'2014'!$A59,Persistance!$D:$D,'2014'!D$5,Persistance!$A:$A,"Industrial")*1000</f>
        <v>0</v>
      </c>
      <c r="E59" s="51">
        <f ca="1">SUMIFS(OFFSET(Persistance!$F:$F,0,$A$2-Persistance!$K$1),Persistance!$B:$B,'2014'!$A59,Persistance!$D:$D,'2014'!E$5,Persistance!$A:$A,"Industrial")*1000</f>
        <v>0</v>
      </c>
      <c r="F59" s="51">
        <f ca="1">SUMIFS(OFFSET(Persistance!$F:$F,0,$A$2-Persistance!$K$1),Persistance!$B:$B,'2014'!$A59,Persistance!$D:$D,'2014'!F$5,Persistance!$A:$A,"Industrial")*1000</f>
        <v>0</v>
      </c>
      <c r="G59" s="51">
        <f ca="1">SUMIFS(OFFSET(Persistance!$F:$F,0,$A$2-Persistance!$K$1),Persistance!$B:$B,'2014'!$A59,Persistance!$D:$D,'2014'!G$5,Persistance!$A:$A,"Industrial")*1000</f>
        <v>0</v>
      </c>
      <c r="H59" s="51">
        <f ca="1">SUMIFS(OFFSET(Persistance!$F:$F,0,$A$2-Persistance!$K$1),Persistance!$B:$B,'2014'!$A59,Persistance!$D:$D,'2014'!H$5,Persistance!$A:$A,"Industrial")*1000</f>
        <v>0</v>
      </c>
      <c r="I59" s="51">
        <f ca="1">SUMIFS(OFFSET(Persistance!$F:$F,0,$A$2-Persistance!$K$1),Persistance!$B:$B,'2014'!$A59,Persistance!$D:$D,'2014'!I$5,Persistance!$A:$A,"Industrial")*1000</f>
        <v>0</v>
      </c>
      <c r="J59" s="51">
        <f ca="1">SUMIFS(OFFSET(Persistance!$F:$F,0,$A$2-Persistance!$K$1),Persistance!$B:$B,'2014'!$A59,Persistance!$D:$D,'2014'!J$5,Persistance!$A:$A,"Industrial")*1000</f>
        <v>0</v>
      </c>
      <c r="K59" s="51">
        <f ca="1">SUMIFS(OFFSET(Persistance!$F:$F,0,$A$2-Persistance!$K$1),Persistance!$B:$B,'2014'!$A59,Persistance!$D:$D,'2014'!K$5,Persistance!$A:$A,"Industrial")*1000</f>
        <v>0</v>
      </c>
      <c r="L59" s="34">
        <f t="shared" ca="1" si="8"/>
        <v>0</v>
      </c>
      <c r="M59" s="34"/>
      <c r="N59" s="35"/>
      <c r="O59" s="36"/>
      <c r="P59" s="36"/>
      <c r="Q59" s="36"/>
      <c r="R59" s="2"/>
      <c r="S59" s="2"/>
      <c r="T59" s="2"/>
      <c r="U59" s="2"/>
    </row>
    <row r="60" spans="1:21" x14ac:dyDescent="0.25">
      <c r="A60" t="s">
        <v>60</v>
      </c>
      <c r="B60" s="51">
        <f ca="1">SUMIFS(OFFSET(Persistance!$F:$F,0,$A$2-Persistance!$K$1),Persistance!$B:$B,'2014'!$A60,Persistance!$D:$D,'2014'!B$5,Persistance!$A:$A,"Industrial")*1000</f>
        <v>0</v>
      </c>
      <c r="C60" s="51">
        <f ca="1">SUMIFS(OFFSET(Persistance!$F:$F,0,$A$2-Persistance!$K$1),Persistance!$B:$B,'2014'!$A60,Persistance!$D:$D,'2014'!C$5,Persistance!$A:$A,"Industrial")*1000</f>
        <v>0</v>
      </c>
      <c r="D60" s="51">
        <f ca="1">SUMIFS(OFFSET(Persistance!$F:$F,0,$A$2-Persistance!$K$1),Persistance!$B:$B,'2014'!$A60,Persistance!$D:$D,'2014'!D$5,Persistance!$A:$A,"Industrial")*1000</f>
        <v>0</v>
      </c>
      <c r="E60" s="51">
        <f ca="1">SUMIFS(OFFSET(Persistance!$F:$F,0,$A$2-Persistance!$K$1),Persistance!$B:$B,'2014'!$A60,Persistance!$D:$D,'2014'!E$5,Persistance!$A:$A,"Industrial")*1000</f>
        <v>0</v>
      </c>
      <c r="F60" s="51">
        <f ca="1">SUMIFS(OFFSET(Persistance!$F:$F,0,$A$2-Persistance!$K$1),Persistance!$B:$B,'2014'!$A60,Persistance!$D:$D,'2014'!F$5,Persistance!$A:$A,"Industrial")*1000</f>
        <v>0</v>
      </c>
      <c r="G60" s="51">
        <f ca="1">SUMIFS(OFFSET(Persistance!$F:$F,0,$A$2-Persistance!$K$1),Persistance!$B:$B,'2014'!$A60,Persistance!$D:$D,'2014'!G$5,Persistance!$A:$A,"Industrial")*1000</f>
        <v>0</v>
      </c>
      <c r="H60" s="51">
        <f ca="1">SUMIFS(OFFSET(Persistance!$F:$F,0,$A$2-Persistance!$K$1),Persistance!$B:$B,'2014'!$A60,Persistance!$D:$D,'2014'!H$5,Persistance!$A:$A,"Industrial")*1000</f>
        <v>0</v>
      </c>
      <c r="I60" s="51">
        <f ca="1">SUMIFS(OFFSET(Persistance!$F:$F,0,$A$2-Persistance!$K$1),Persistance!$B:$B,'2014'!$A60,Persistance!$D:$D,'2014'!I$5,Persistance!$A:$A,"Industrial")*1000</f>
        <v>0</v>
      </c>
      <c r="J60" s="51">
        <f ca="1">SUMIFS(OFFSET(Persistance!$F:$F,0,$A$2-Persistance!$K$1),Persistance!$B:$B,'2014'!$A60,Persistance!$D:$D,'2014'!J$5,Persistance!$A:$A,"Industrial")*1000</f>
        <v>0</v>
      </c>
      <c r="K60" s="51">
        <f ca="1">SUMIFS(OFFSET(Persistance!$F:$F,0,$A$2-Persistance!$K$1),Persistance!$B:$B,'2014'!$A60,Persistance!$D:$D,'2014'!K$5,Persistance!$A:$A,"Industrial")*1000</f>
        <v>0</v>
      </c>
      <c r="L60" s="34">
        <f t="shared" ca="1" si="8"/>
        <v>0</v>
      </c>
      <c r="M60" s="34"/>
      <c r="N60" s="35"/>
      <c r="O60" s="36"/>
      <c r="P60" s="36"/>
      <c r="Q60" s="36"/>
      <c r="R60" s="2"/>
      <c r="S60" s="2"/>
      <c r="T60" s="2"/>
      <c r="U60" s="2"/>
    </row>
    <row r="61" spans="1:21" x14ac:dyDescent="0.25">
      <c r="A61" t="s">
        <v>14</v>
      </c>
      <c r="B61" s="51">
        <f ca="1">SUMIFS(OFFSET(Persistance!$F:$F,0,$A$2-Persistance!$F$1),Persistance!$B:$B,$A61,Persistance!$D:$D,B$5)*1000*'Retrofit Split'!B$7</f>
        <v>51.5900486688152</v>
      </c>
      <c r="C61" s="51">
        <f ca="1">SUMIFS(OFFSET(Persistance!$F:$F,0,$A$2-Persistance!$F$1),Persistance!$B:$B,$A61,Persistance!$D:$D,C$5)*1000*'Retrofit Split'!C$7</f>
        <v>9.5530774238729812</v>
      </c>
      <c r="D61" s="51">
        <f ca="1">SUMIFS(OFFSET(Persistance!$F:$F,0,$A$2-Persistance!$F$1),Persistance!$B:$B,$A61,Persistance!$D:$D,D$5)*1000*'Retrofit Split'!D$7</f>
        <v>14.616853904476695</v>
      </c>
      <c r="E61" s="51">
        <f ca="1">SUMIFS(OFFSET(Persistance!$F:$F,0,$A$2-Persistance!$F$1),Persistance!$B:$B,$A61,Persistance!$D:$D,E$5)*1000*'Retrofit Split'!E$7</f>
        <v>17.058306921910944</v>
      </c>
      <c r="F61" s="51">
        <f ca="1">SUMIFS(OFFSET(Persistance!$F:$F,0,$A$2-Persistance!$F$1),Persistance!$B:$B,$A61,Persistance!$D:$D,F$5)*1000*'Retrofit Split'!F$7</f>
        <v>0</v>
      </c>
      <c r="G61" s="51">
        <f ca="1">SUMIFS(OFFSET(Persistance!$F:$F,0,$A$2-Persistance!$F$1),Persistance!$B:$B,$A61,Persistance!$D:$D,G$5)*1000*'Retrofit Split'!G$7</f>
        <v>0</v>
      </c>
      <c r="H61" s="51">
        <f ca="1">SUMIFS(OFFSET(Persistance!$F:$F,0,$A$2-Persistance!$F$1),Persistance!$B:$B,$A61,Persistance!$D:$D,H$5)*1000*'Retrofit Split'!H$7</f>
        <v>0</v>
      </c>
      <c r="I61" s="51">
        <f ca="1">SUMIFS(OFFSET(Persistance!$F:$F,0,$A$2-Persistance!$F$1),Persistance!$B:$B,$A61,Persistance!$D:$D,I$5)*1000*'Retrofit Split'!I$7</f>
        <v>0</v>
      </c>
      <c r="J61" s="51">
        <f ca="1">SUMIFS(OFFSET(Persistance!$F:$F,0,$A$2-Persistance!$F$1),Persistance!$B:$B,$A61,Persistance!$D:$D,J$5)*1000*'Retrofit Split'!J$7</f>
        <v>0</v>
      </c>
      <c r="K61" s="51">
        <f ca="1">SUMIFS(OFFSET(Persistance!$F:$F,0,$A$2-Persistance!$F$1),Persistance!$B:$B,$A61,Persistance!$D:$D,K$5)*1000*'Retrofit Split'!K$7</f>
        <v>0</v>
      </c>
      <c r="L61" s="34">
        <f t="shared" ca="1" si="8"/>
        <v>1113.8194430289097</v>
      </c>
      <c r="M61" s="34"/>
      <c r="N61" s="35"/>
      <c r="O61" s="36"/>
      <c r="P61" s="36"/>
      <c r="Q61" s="36"/>
      <c r="R61" s="2"/>
      <c r="S61" s="28" t="s">
        <v>49</v>
      </c>
      <c r="T61" s="28" t="s">
        <v>17</v>
      </c>
      <c r="U61" s="2" t="s">
        <v>50</v>
      </c>
    </row>
    <row r="62" spans="1:21" x14ac:dyDescent="0.25">
      <c r="B62" s="29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5"/>
      <c r="O62" s="36"/>
      <c r="P62" s="36"/>
      <c r="Q62" s="36"/>
      <c r="R62" s="2"/>
      <c r="S62" s="29">
        <f ca="1">$A$2</f>
        <v>2014</v>
      </c>
      <c r="T62" s="50">
        <f ca="1">AVERAGEIFS(Rates!E:E,Rates!F:F,'2014'!S62,Rates!G:G,"Industrial")</f>
        <v>0.88460000000000005</v>
      </c>
      <c r="U62" s="30">
        <f ca="1">AVERAGEIFS(Rates!B:B,Rates!F:F,'2014'!S62,Rates!G:G,"Industrial")</f>
        <v>41760</v>
      </c>
    </row>
    <row r="63" spans="1:21" x14ac:dyDescent="0.25">
      <c r="A63" t="s">
        <v>19</v>
      </c>
      <c r="B63" s="64">
        <f ca="1">SUM(B52:B62)</f>
        <v>51.5900486688152</v>
      </c>
      <c r="C63" s="64">
        <f ca="1">SUM(C52:C62)</f>
        <v>9.5530774238729812</v>
      </c>
      <c r="D63" s="64">
        <f ca="1">SUM(D52:D62)</f>
        <v>14.616853904476695</v>
      </c>
      <c r="E63" s="64">
        <f t="shared" ref="E63:L63" ca="1" si="9">SUM(E52:E62)</f>
        <v>17.058306921910944</v>
      </c>
      <c r="F63" s="64">
        <f t="shared" ca="1" si="9"/>
        <v>0</v>
      </c>
      <c r="G63" s="64">
        <f t="shared" ca="1" si="9"/>
        <v>0</v>
      </c>
      <c r="H63" s="64">
        <f t="shared" ca="1" si="9"/>
        <v>0</v>
      </c>
      <c r="I63" s="64">
        <f t="shared" ca="1" si="9"/>
        <v>0</v>
      </c>
      <c r="J63" s="64">
        <f t="shared" ca="1" si="9"/>
        <v>0</v>
      </c>
      <c r="K63" s="64">
        <f t="shared" ca="1" si="9"/>
        <v>0</v>
      </c>
      <c r="L63" s="64">
        <f t="shared" ca="1" si="9"/>
        <v>1113.8194430289097</v>
      </c>
      <c r="M63" s="64">
        <f>Summary!$F$8</f>
        <v>1037</v>
      </c>
      <c r="N63" s="64">
        <f ca="1">(((MONTH(U62)-1)/12)*T63)+(((12-(MONTH(U62)-1))/12)*T62)</f>
        <v>0.8796666666666666</v>
      </c>
      <c r="O63" s="64">
        <f ca="1">ROUND(L63*N63,2)</f>
        <v>979.79</v>
      </c>
      <c r="P63" s="64">
        <f ca="1">ROUND(M63*N63,2)</f>
        <v>912.21</v>
      </c>
      <c r="Q63" s="64">
        <f ca="1">+O63-P63</f>
        <v>67.579999999999927</v>
      </c>
      <c r="R63" s="2"/>
      <c r="S63" s="29">
        <f ca="1">S62-1</f>
        <v>2013</v>
      </c>
      <c r="T63" s="50">
        <f ca="1">AVERAGEIFS(Rates!E:E,Rates!F:F,'2014'!S63,Rates!G:G,"Industrial")</f>
        <v>0.86980000000000002</v>
      </c>
      <c r="U63" s="2"/>
    </row>
    <row r="64" spans="1:21" x14ac:dyDescent="0.25">
      <c r="B64" s="65"/>
      <c r="C64" s="65"/>
      <c r="D64" s="65"/>
      <c r="E64" s="53"/>
      <c r="F64" s="53"/>
      <c r="G64" s="53"/>
      <c r="H64" s="53"/>
      <c r="I64" s="53"/>
      <c r="J64" s="53"/>
      <c r="K64" s="53"/>
      <c r="L64" s="53">
        <f ca="1">L63/12</f>
        <v>92.818286919075817</v>
      </c>
      <c r="M64" s="53"/>
      <c r="N64" s="53"/>
      <c r="O64" s="53"/>
      <c r="P64" s="53"/>
      <c r="Q64" s="53"/>
      <c r="R64" s="2"/>
      <c r="S64" s="2"/>
      <c r="T64" s="2"/>
      <c r="U64" s="2"/>
    </row>
    <row r="65" spans="1:21" ht="15.75" thickBot="1" x14ac:dyDescent="0.3">
      <c r="A65" t="s">
        <v>20</v>
      </c>
      <c r="B65" s="66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67">
        <f ca="1">SUM(O30:O64)</f>
        <v>34099.030000000006</v>
      </c>
      <c r="P65" s="67">
        <f ca="1">SUM(P30:P64)</f>
        <v>15881.96</v>
      </c>
      <c r="Q65" s="67">
        <f ca="1">SUM(Q30:Q64)</f>
        <v>18217.07</v>
      </c>
      <c r="R65" s="2"/>
      <c r="S65" s="2"/>
      <c r="T65" s="2"/>
      <c r="U65" s="2"/>
    </row>
    <row r="66" spans="1:21" ht="15.75" thickTop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R66" s="2"/>
      <c r="S66" s="2"/>
      <c r="T66" s="2"/>
      <c r="U66" s="2"/>
    </row>
    <row r="67" spans="1:2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R67" s="2"/>
      <c r="S67" s="2"/>
      <c r="T67" s="2"/>
      <c r="U67" s="2"/>
    </row>
    <row r="68" spans="1:2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R68" s="2"/>
      <c r="S68" s="2"/>
      <c r="T68" s="2"/>
      <c r="U68" s="2"/>
    </row>
    <row r="69" spans="1:21" x14ac:dyDescent="0.2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R69" s="2"/>
      <c r="S69" s="2"/>
      <c r="T69" s="2"/>
      <c r="U6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tabSelected="1" workbookViewId="0">
      <selection activeCell="D11" sqref="D11"/>
    </sheetView>
  </sheetViews>
  <sheetFormatPr defaultRowHeight="15" x14ac:dyDescent="0.25"/>
  <cols>
    <col min="3" max="3" width="12.5703125" bestFit="1" customWidth="1"/>
    <col min="5" max="5" width="27.5703125" bestFit="1" customWidth="1"/>
    <col min="6" max="6" width="9.5703125" bestFit="1" customWidth="1"/>
    <col min="7" max="7" width="11.5703125" bestFit="1" customWidth="1"/>
  </cols>
  <sheetData>
    <row r="2" spans="2:7" x14ac:dyDescent="0.25">
      <c r="B2" t="s">
        <v>49</v>
      </c>
      <c r="C2" t="s">
        <v>90</v>
      </c>
      <c r="E2" t="s">
        <v>99</v>
      </c>
    </row>
    <row r="3" spans="2:7" x14ac:dyDescent="0.25">
      <c r="B3">
        <v>2011</v>
      </c>
      <c r="C3" s="33" t="str">
        <f t="shared" ref="C3:C4" ca="1" si="0">IFERROR(INDIRECT("'"&amp;B3&amp;"'!Q65"),"")</f>
        <v/>
      </c>
      <c r="E3">
        <v>2013</v>
      </c>
    </row>
    <row r="4" spans="2:7" x14ac:dyDescent="0.25">
      <c r="B4">
        <f>B3+1</f>
        <v>2012</v>
      </c>
      <c r="C4" s="33">
        <f t="shared" ca="1" si="0"/>
        <v>9538.36</v>
      </c>
    </row>
    <row r="5" spans="2:7" x14ac:dyDescent="0.25">
      <c r="B5">
        <f t="shared" ref="B5:B11" si="1">B4+1</f>
        <v>2013</v>
      </c>
      <c r="C5" s="33">
        <f ca="1">IFERROR(INDIRECT("'"&amp;B5&amp;"'!Q65"),"")</f>
        <v>4151.58</v>
      </c>
      <c r="E5" t="s">
        <v>100</v>
      </c>
      <c r="F5" t="s">
        <v>48</v>
      </c>
      <c r="G5" t="s">
        <v>87</v>
      </c>
    </row>
    <row r="6" spans="2:7" x14ac:dyDescent="0.25">
      <c r="B6">
        <f t="shared" si="1"/>
        <v>2014</v>
      </c>
      <c r="C6" s="33">
        <f t="shared" ref="C6:C12" ca="1" si="2">IFERROR(INDIRECT("'"&amp;B6&amp;"'!Q65"),"")</f>
        <v>18217.07</v>
      </c>
      <c r="E6" t="s">
        <v>84</v>
      </c>
      <c r="F6" s="1"/>
      <c r="G6" s="1">
        <v>658968</v>
      </c>
    </row>
    <row r="7" spans="2:7" x14ac:dyDescent="0.25">
      <c r="B7">
        <f t="shared" si="1"/>
        <v>2015</v>
      </c>
      <c r="C7" s="33" t="str">
        <f t="shared" ca="1" si="2"/>
        <v/>
      </c>
      <c r="E7" t="s">
        <v>101</v>
      </c>
      <c r="F7" s="1"/>
      <c r="G7" s="1">
        <v>308543</v>
      </c>
    </row>
    <row r="8" spans="2:7" x14ac:dyDescent="0.25">
      <c r="B8">
        <f t="shared" si="1"/>
        <v>2016</v>
      </c>
      <c r="C8" s="33" t="str">
        <f t="shared" ca="1" si="2"/>
        <v/>
      </c>
      <c r="E8" t="s">
        <v>102</v>
      </c>
      <c r="F8" s="1">
        <v>1037</v>
      </c>
      <c r="G8" s="1">
        <v>822010</v>
      </c>
    </row>
    <row r="9" spans="2:7" x14ac:dyDescent="0.25">
      <c r="B9">
        <f t="shared" si="1"/>
        <v>2017</v>
      </c>
      <c r="C9" s="33" t="str">
        <f t="shared" ca="1" si="2"/>
        <v/>
      </c>
    </row>
    <row r="10" spans="2:7" x14ac:dyDescent="0.25">
      <c r="B10">
        <f t="shared" si="1"/>
        <v>2018</v>
      </c>
      <c r="C10" s="33" t="str">
        <f t="shared" ca="1" si="2"/>
        <v/>
      </c>
    </row>
    <row r="11" spans="2:7" x14ac:dyDescent="0.25">
      <c r="B11">
        <f t="shared" si="1"/>
        <v>2019</v>
      </c>
      <c r="C11" s="33" t="str">
        <f t="shared" ca="1" si="2"/>
        <v/>
      </c>
    </row>
    <row r="12" spans="2:7" x14ac:dyDescent="0.25">
      <c r="B12">
        <f t="shared" ref="B12" si="3">B11+1</f>
        <v>2020</v>
      </c>
      <c r="C12" s="33" t="str">
        <f t="shared" ca="1" si="2"/>
        <v/>
      </c>
    </row>
    <row r="13" spans="2:7" x14ac:dyDescent="0.25">
      <c r="C13" s="33"/>
    </row>
    <row r="14" spans="2:7" x14ac:dyDescent="0.25">
      <c r="B14" t="s">
        <v>15</v>
      </c>
      <c r="C14" s="68">
        <f ca="1">SUM(C3:C12)</f>
        <v>31907.010000000002</v>
      </c>
    </row>
    <row r="15" spans="2:7" x14ac:dyDescent="0.25">
      <c r="C15" s="33"/>
    </row>
    <row r="17" spans="2:3" x14ac:dyDescent="0.25">
      <c r="B17" s="54"/>
      <c r="C17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selection activeCell="Q11" sqref="Q11"/>
    </sheetView>
  </sheetViews>
  <sheetFormatPr defaultRowHeight="15" x14ac:dyDescent="0.25"/>
  <cols>
    <col min="2" max="2" width="50.7109375" bestFit="1" customWidth="1"/>
  </cols>
  <sheetData>
    <row r="1" spans="1:15" ht="45" x14ac:dyDescent="0.25">
      <c r="A1" s="15" t="s">
        <v>30</v>
      </c>
      <c r="B1" s="16" t="s">
        <v>31</v>
      </c>
      <c r="C1" s="17" t="s">
        <v>32</v>
      </c>
      <c r="D1" s="18" t="s">
        <v>33</v>
      </c>
      <c r="E1" s="19" t="s">
        <v>34</v>
      </c>
      <c r="F1" s="20">
        <v>2011</v>
      </c>
      <c r="G1" s="20">
        <v>2012</v>
      </c>
      <c r="H1" s="20">
        <v>2013</v>
      </c>
      <c r="I1" s="20">
        <v>2014</v>
      </c>
      <c r="J1" s="20">
        <v>2015</v>
      </c>
      <c r="K1" s="21">
        <v>2011</v>
      </c>
      <c r="L1" s="21">
        <v>2012</v>
      </c>
      <c r="M1" s="21">
        <v>2013</v>
      </c>
      <c r="N1" s="21">
        <v>2014</v>
      </c>
      <c r="O1" s="32">
        <v>2015</v>
      </c>
    </row>
    <row r="2" spans="1:15" x14ac:dyDescent="0.25">
      <c r="A2" s="22" t="s">
        <v>35</v>
      </c>
      <c r="B2" s="23" t="s">
        <v>36</v>
      </c>
      <c r="C2" s="23" t="s">
        <v>91</v>
      </c>
      <c r="D2" s="24">
        <v>2014</v>
      </c>
      <c r="E2" s="23" t="s">
        <v>92</v>
      </c>
      <c r="F2" s="25">
        <v>0</v>
      </c>
      <c r="G2" s="25">
        <v>0</v>
      </c>
      <c r="H2" s="25">
        <v>0</v>
      </c>
      <c r="I2" s="25">
        <v>4.3670221679999996E-2</v>
      </c>
      <c r="J2" s="25">
        <v>0</v>
      </c>
      <c r="K2" s="26">
        <v>0</v>
      </c>
      <c r="L2" s="26">
        <v>0</v>
      </c>
      <c r="M2" s="26">
        <v>0</v>
      </c>
      <c r="N2" s="26">
        <v>0</v>
      </c>
      <c r="O2" s="26">
        <v>0</v>
      </c>
    </row>
    <row r="3" spans="1:15" x14ac:dyDescent="0.25">
      <c r="A3" s="22" t="s">
        <v>35</v>
      </c>
      <c r="B3" s="23" t="s">
        <v>73</v>
      </c>
      <c r="C3" s="23" t="s">
        <v>91</v>
      </c>
      <c r="D3" s="24">
        <v>2013</v>
      </c>
      <c r="E3" s="23" t="s">
        <v>93</v>
      </c>
      <c r="F3" s="25" t="s">
        <v>37</v>
      </c>
      <c r="G3" s="25" t="s">
        <v>37</v>
      </c>
      <c r="H3" s="25">
        <v>8.7114215098000006E-2</v>
      </c>
      <c r="I3" s="25">
        <v>8.7114215098000006E-2</v>
      </c>
      <c r="J3" s="25">
        <v>8.5907007548E-2</v>
      </c>
      <c r="K3" s="26" t="s">
        <v>37</v>
      </c>
      <c r="L3" s="26" t="s">
        <v>37</v>
      </c>
      <c r="M3" s="26">
        <v>310.06948845646002</v>
      </c>
      <c r="N3" s="26">
        <v>310.06948845646002</v>
      </c>
      <c r="O3" s="26">
        <v>306.16942060396099</v>
      </c>
    </row>
    <row r="4" spans="1:15" x14ac:dyDescent="0.25">
      <c r="A4" s="22" t="s">
        <v>35</v>
      </c>
      <c r="B4" s="23" t="s">
        <v>14</v>
      </c>
      <c r="C4" s="23" t="s">
        <v>91</v>
      </c>
      <c r="D4" s="24">
        <v>2011</v>
      </c>
      <c r="E4" s="23" t="s">
        <v>94</v>
      </c>
      <c r="F4" s="25">
        <v>4.6416708998182676E-2</v>
      </c>
      <c r="G4" s="25">
        <v>4.6416708998182676E-2</v>
      </c>
      <c r="H4" s="25">
        <v>4.6416708998182676E-2</v>
      </c>
      <c r="I4" s="25">
        <v>4.6416708998182676E-2</v>
      </c>
      <c r="J4" s="25">
        <v>4.6416708998182676E-2</v>
      </c>
      <c r="K4" s="26">
        <v>278.29691205879243</v>
      </c>
      <c r="L4" s="26">
        <v>278.29691205879243</v>
      </c>
      <c r="M4" s="26">
        <v>278.29691205879243</v>
      </c>
      <c r="N4" s="26">
        <v>278.29691205879243</v>
      </c>
      <c r="O4" s="26">
        <v>278.29691205879243</v>
      </c>
    </row>
    <row r="5" spans="1:15" x14ac:dyDescent="0.25">
      <c r="A5" s="22" t="s">
        <v>35</v>
      </c>
      <c r="B5" s="23" t="s">
        <v>14</v>
      </c>
      <c r="C5" s="23" t="s">
        <v>91</v>
      </c>
      <c r="D5" s="24">
        <v>2012</v>
      </c>
      <c r="E5" s="23" t="s">
        <v>95</v>
      </c>
      <c r="F5" s="25">
        <v>0</v>
      </c>
      <c r="G5" s="25">
        <v>9.5530774238729819E-3</v>
      </c>
      <c r="H5" s="25">
        <v>9.5530774238729819E-3</v>
      </c>
      <c r="I5" s="25">
        <v>9.5530774238729819E-3</v>
      </c>
      <c r="J5" s="25">
        <v>9.5530774238729819E-3</v>
      </c>
      <c r="K5" s="26">
        <v>0</v>
      </c>
      <c r="L5" s="26">
        <v>6.4838330377812934</v>
      </c>
      <c r="M5" s="26">
        <v>6.4838330377812934</v>
      </c>
      <c r="N5" s="26">
        <v>6.4838330377812934</v>
      </c>
      <c r="O5" s="26">
        <v>6.4838330377812934</v>
      </c>
    </row>
    <row r="6" spans="1:15" x14ac:dyDescent="0.25">
      <c r="A6" s="22" t="s">
        <v>35</v>
      </c>
      <c r="B6" s="23" t="s">
        <v>14</v>
      </c>
      <c r="C6" s="23" t="s">
        <v>91</v>
      </c>
      <c r="D6" s="24">
        <v>2011</v>
      </c>
      <c r="E6" s="23" t="s">
        <v>95</v>
      </c>
      <c r="F6" s="25">
        <v>5.1733396706325173E-3</v>
      </c>
      <c r="G6" s="25">
        <v>5.1733396706325173E-3</v>
      </c>
      <c r="H6" s="25">
        <v>5.1733396706325173E-3</v>
      </c>
      <c r="I6" s="25">
        <v>5.1733396706325173E-3</v>
      </c>
      <c r="J6" s="25">
        <v>5.1733396706325173E-3</v>
      </c>
      <c r="K6" s="26">
        <v>20.023635498435176</v>
      </c>
      <c r="L6" s="26">
        <v>20.023635498435176</v>
      </c>
      <c r="M6" s="26">
        <v>20.023635498435176</v>
      </c>
      <c r="N6" s="26">
        <v>20.023635498435176</v>
      </c>
      <c r="O6" s="26">
        <v>20.023635498435176</v>
      </c>
    </row>
    <row r="7" spans="1:15" x14ac:dyDescent="0.25">
      <c r="A7" s="22" t="s">
        <v>35</v>
      </c>
      <c r="B7" s="23" t="s">
        <v>14</v>
      </c>
      <c r="C7" s="23" t="s">
        <v>91</v>
      </c>
      <c r="D7" s="24">
        <v>2013</v>
      </c>
      <c r="E7" s="23" t="s">
        <v>93</v>
      </c>
      <c r="F7" s="25" t="s">
        <v>37</v>
      </c>
      <c r="G7" s="25" t="s">
        <v>37</v>
      </c>
      <c r="H7" s="25">
        <v>1.8888370817999999E-2</v>
      </c>
      <c r="I7" s="25">
        <v>1.8888370817999999E-2</v>
      </c>
      <c r="J7" s="25">
        <v>1.8888370817999999E-2</v>
      </c>
      <c r="K7" s="26">
        <v>0</v>
      </c>
      <c r="L7" s="26">
        <v>0</v>
      </c>
      <c r="M7" s="26">
        <v>69.149332899760992</v>
      </c>
      <c r="N7" s="26">
        <v>69.149332899760992</v>
      </c>
      <c r="O7" s="26">
        <v>69.149332899760992</v>
      </c>
    </row>
    <row r="8" spans="1:15" x14ac:dyDescent="0.25">
      <c r="A8" s="22" t="s">
        <v>35</v>
      </c>
      <c r="B8" s="23" t="s">
        <v>14</v>
      </c>
      <c r="C8" s="23" t="s">
        <v>91</v>
      </c>
      <c r="D8" s="24">
        <v>2012</v>
      </c>
      <c r="E8" s="23" t="s">
        <v>92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</row>
    <row r="9" spans="1:15" x14ac:dyDescent="0.25">
      <c r="A9" s="22" t="s">
        <v>35</v>
      </c>
      <c r="B9" s="23" t="s">
        <v>14</v>
      </c>
      <c r="C9" s="23" t="s">
        <v>91</v>
      </c>
      <c r="D9" s="24">
        <v>2013</v>
      </c>
      <c r="E9" s="23" t="s">
        <v>92</v>
      </c>
      <c r="F9" s="25">
        <v>0</v>
      </c>
      <c r="G9" s="25">
        <v>0</v>
      </c>
      <c r="H9" s="25">
        <v>2.8506300000000002E-7</v>
      </c>
      <c r="I9" s="25">
        <v>2.8506300000000002E-7</v>
      </c>
      <c r="J9" s="25">
        <v>2.8506300000000002E-7</v>
      </c>
      <c r="K9" s="26">
        <v>0</v>
      </c>
      <c r="L9" s="26">
        <v>0</v>
      </c>
      <c r="M9" s="26">
        <v>22.903670259999998</v>
      </c>
      <c r="N9" s="26">
        <v>22.903670259999998</v>
      </c>
      <c r="O9" s="26">
        <v>22.903670259999998</v>
      </c>
    </row>
    <row r="10" spans="1:15" x14ac:dyDescent="0.25">
      <c r="A10" s="22" t="s">
        <v>35</v>
      </c>
      <c r="B10" s="23" t="s">
        <v>14</v>
      </c>
      <c r="C10" s="23" t="s">
        <v>91</v>
      </c>
      <c r="D10" s="24">
        <v>2014</v>
      </c>
      <c r="E10" s="23" t="s">
        <v>92</v>
      </c>
      <c r="F10" s="25">
        <v>0</v>
      </c>
      <c r="G10" s="25">
        <v>0</v>
      </c>
      <c r="H10" s="25">
        <v>0</v>
      </c>
      <c r="I10" s="25">
        <v>1.8317429059999998E-2</v>
      </c>
      <c r="J10" s="25">
        <v>1.8317429059999998E-2</v>
      </c>
      <c r="K10" s="26">
        <v>0</v>
      </c>
      <c r="L10" s="26">
        <v>0</v>
      </c>
      <c r="M10" s="26">
        <v>0</v>
      </c>
      <c r="N10" s="26">
        <v>359.11333079999997</v>
      </c>
      <c r="O10" s="26">
        <v>359.11333079999997</v>
      </c>
    </row>
    <row r="11" spans="1:15" x14ac:dyDescent="0.25">
      <c r="A11" s="22" t="s">
        <v>38</v>
      </c>
      <c r="B11" s="23" t="s">
        <v>39</v>
      </c>
      <c r="C11" s="23" t="s">
        <v>91</v>
      </c>
      <c r="D11" s="24">
        <v>2011</v>
      </c>
      <c r="E11" s="23" t="s">
        <v>94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</row>
    <row r="12" spans="1:15" x14ac:dyDescent="0.25">
      <c r="A12" s="22" t="s">
        <v>38</v>
      </c>
      <c r="B12" s="23" t="s">
        <v>2</v>
      </c>
      <c r="C12" s="23" t="s">
        <v>91</v>
      </c>
      <c r="D12" s="24">
        <v>2011</v>
      </c>
      <c r="E12" s="23" t="s">
        <v>94</v>
      </c>
      <c r="F12" s="25">
        <v>4.3723789815697733E-4</v>
      </c>
      <c r="G12" s="25">
        <v>4.3723789815697733E-4</v>
      </c>
      <c r="H12" s="25">
        <v>4.3723789815697733E-4</v>
      </c>
      <c r="I12" s="25">
        <v>4.3723789815697733E-4</v>
      </c>
      <c r="J12" s="25">
        <v>4.3723789815697733E-4</v>
      </c>
      <c r="K12" s="26">
        <v>0.81867569532333184</v>
      </c>
      <c r="L12" s="26">
        <v>0.81867569532333184</v>
      </c>
      <c r="M12" s="26">
        <v>0.81867569532333184</v>
      </c>
      <c r="N12" s="26">
        <v>0.81867569532333184</v>
      </c>
      <c r="O12" s="26">
        <v>0.81867569532333184</v>
      </c>
    </row>
    <row r="13" spans="1:15" x14ac:dyDescent="0.25">
      <c r="A13" s="22" t="s">
        <v>38</v>
      </c>
      <c r="B13" s="23" t="s">
        <v>2</v>
      </c>
      <c r="C13" s="23" t="s">
        <v>91</v>
      </c>
      <c r="D13" s="24">
        <v>2012</v>
      </c>
      <c r="E13" s="23" t="s">
        <v>95</v>
      </c>
      <c r="F13" s="25">
        <v>0</v>
      </c>
      <c r="G13" s="25">
        <v>2.1659685555798595E-4</v>
      </c>
      <c r="H13" s="25">
        <v>2.1659685555798595E-4</v>
      </c>
      <c r="I13" s="25">
        <v>2.1659685555798595E-4</v>
      </c>
      <c r="J13" s="25">
        <v>2.1659685555798595E-4</v>
      </c>
      <c r="K13" s="26">
        <v>0</v>
      </c>
      <c r="L13" s="26">
        <v>0.37365114421070489</v>
      </c>
      <c r="M13" s="26">
        <v>0.37365114421070489</v>
      </c>
      <c r="N13" s="26">
        <v>0.37365114421070489</v>
      </c>
      <c r="O13" s="26">
        <v>0.37365114421070489</v>
      </c>
    </row>
    <row r="14" spans="1:15" x14ac:dyDescent="0.25">
      <c r="A14" s="22" t="s">
        <v>38</v>
      </c>
      <c r="B14" s="23" t="s">
        <v>2</v>
      </c>
      <c r="C14" s="23" t="s">
        <v>91</v>
      </c>
      <c r="D14" s="24">
        <v>2011</v>
      </c>
      <c r="E14" s="23" t="s">
        <v>95</v>
      </c>
      <c r="F14" s="25">
        <v>-9.9339549166576192E-5</v>
      </c>
      <c r="G14" s="25">
        <v>-9.9339549166576192E-5</v>
      </c>
      <c r="H14" s="25">
        <v>-9.9339549166576192E-5</v>
      </c>
      <c r="I14" s="25">
        <v>-9.9339549166576192E-5</v>
      </c>
      <c r="J14" s="25">
        <v>-9.9339549166576192E-5</v>
      </c>
      <c r="K14" s="26">
        <v>-0.18404778985309461</v>
      </c>
      <c r="L14" s="26">
        <v>-0.18404778985309461</v>
      </c>
      <c r="M14" s="26">
        <v>-0.18404778985309461</v>
      </c>
      <c r="N14" s="26">
        <v>-0.18404778985309461</v>
      </c>
      <c r="O14" s="26">
        <v>-0.18404778985309461</v>
      </c>
    </row>
    <row r="15" spans="1:15" x14ac:dyDescent="0.25">
      <c r="A15" s="22" t="s">
        <v>38</v>
      </c>
      <c r="B15" s="23" t="s">
        <v>2</v>
      </c>
      <c r="C15" s="23" t="s">
        <v>91</v>
      </c>
      <c r="D15" s="24">
        <v>2014</v>
      </c>
      <c r="E15" s="23" t="s">
        <v>92</v>
      </c>
      <c r="F15" s="25">
        <v>0</v>
      </c>
      <c r="G15" s="25">
        <v>0</v>
      </c>
      <c r="H15" s="25">
        <v>0</v>
      </c>
      <c r="I15" s="25">
        <v>3.3772749230000002E-3</v>
      </c>
      <c r="J15" s="25">
        <v>3.3772749230000002E-3</v>
      </c>
      <c r="K15" s="26">
        <v>0</v>
      </c>
      <c r="L15" s="26">
        <v>0</v>
      </c>
      <c r="M15" s="26">
        <v>0</v>
      </c>
      <c r="N15" s="26">
        <v>6.4907679317800007</v>
      </c>
      <c r="O15" s="26">
        <v>6.4907679317800007</v>
      </c>
    </row>
    <row r="16" spans="1:15" x14ac:dyDescent="0.25">
      <c r="A16" s="22" t="s">
        <v>38</v>
      </c>
      <c r="B16" s="23" t="s">
        <v>76</v>
      </c>
      <c r="C16" s="23" t="s">
        <v>91</v>
      </c>
      <c r="D16" s="24">
        <v>2013</v>
      </c>
      <c r="E16" s="23" t="s">
        <v>93</v>
      </c>
      <c r="F16" s="25" t="s">
        <v>37</v>
      </c>
      <c r="G16" s="25" t="s">
        <v>37</v>
      </c>
      <c r="H16" s="25">
        <v>7.8881093499999998E-4</v>
      </c>
      <c r="I16" s="25">
        <v>7.8881093499999998E-4</v>
      </c>
      <c r="J16" s="25">
        <v>7.8881093499999998E-4</v>
      </c>
      <c r="K16" s="26" t="s">
        <v>37</v>
      </c>
      <c r="L16" s="26" t="s">
        <v>37</v>
      </c>
      <c r="M16" s="26">
        <v>1.5316569654899999</v>
      </c>
      <c r="N16" s="26">
        <v>1.5316569654899999</v>
      </c>
      <c r="O16" s="26">
        <v>1.5316569654899999</v>
      </c>
    </row>
    <row r="17" spans="1:15" x14ac:dyDescent="0.25">
      <c r="A17" s="22" t="s">
        <v>38</v>
      </c>
      <c r="B17" s="23" t="s">
        <v>76</v>
      </c>
      <c r="C17" s="23" t="s">
        <v>91</v>
      </c>
      <c r="D17" s="24">
        <v>2012</v>
      </c>
      <c r="E17" s="23" t="s">
        <v>93</v>
      </c>
      <c r="F17" s="25">
        <v>0</v>
      </c>
      <c r="G17" s="25">
        <v>4.3330342756316356E-6</v>
      </c>
      <c r="H17" s="25">
        <v>4.3330342756316356E-6</v>
      </c>
      <c r="I17" s="25">
        <v>4.3330342756316356E-6</v>
      </c>
      <c r="J17" s="25">
        <v>4.3330342756316356E-6</v>
      </c>
      <c r="K17" s="26">
        <v>0</v>
      </c>
      <c r="L17" s="26">
        <v>8.8096292469061685E-3</v>
      </c>
      <c r="M17" s="26">
        <v>8.8096292469061685E-3</v>
      </c>
      <c r="N17" s="26">
        <v>8.8096292469061685E-3</v>
      </c>
      <c r="O17" s="26">
        <v>8.8096292469061685E-3</v>
      </c>
    </row>
    <row r="18" spans="1:15" x14ac:dyDescent="0.25">
      <c r="A18" s="22" t="s">
        <v>38</v>
      </c>
      <c r="B18" s="23" t="s">
        <v>6</v>
      </c>
      <c r="C18" s="23" t="s">
        <v>91</v>
      </c>
      <c r="D18" s="24">
        <v>2013</v>
      </c>
      <c r="E18" s="23" t="s">
        <v>93</v>
      </c>
      <c r="F18" s="25">
        <v>0</v>
      </c>
      <c r="G18" s="25">
        <v>0</v>
      </c>
      <c r="H18" s="25">
        <v>1.0879181780999999E-2</v>
      </c>
      <c r="I18" s="25">
        <v>1.0334471761999999E-2</v>
      </c>
      <c r="J18" s="25">
        <v>1.0284952610999999E-2</v>
      </c>
      <c r="K18" s="26">
        <v>0</v>
      </c>
      <c r="L18" s="26">
        <v>0</v>
      </c>
      <c r="M18" s="26">
        <v>129.81027751922599</v>
      </c>
      <c r="N18" s="26">
        <v>119.32425310516399</v>
      </c>
      <c r="O18" s="26">
        <v>118.370978408813</v>
      </c>
    </row>
    <row r="19" spans="1:15" x14ac:dyDescent="0.25">
      <c r="A19" s="22" t="s">
        <v>38</v>
      </c>
      <c r="B19" s="23" t="s">
        <v>6</v>
      </c>
      <c r="C19" s="23" t="s">
        <v>91</v>
      </c>
      <c r="D19" s="24">
        <v>2014</v>
      </c>
      <c r="E19" s="23" t="s">
        <v>92</v>
      </c>
      <c r="F19" s="25">
        <v>0</v>
      </c>
      <c r="G19" s="25">
        <v>0</v>
      </c>
      <c r="H19" s="25">
        <v>0</v>
      </c>
      <c r="I19" s="25">
        <v>1.02959668E-4</v>
      </c>
      <c r="J19" s="25">
        <v>1.0239680900000001E-4</v>
      </c>
      <c r="K19" s="26">
        <v>0</v>
      </c>
      <c r="L19" s="26">
        <v>0</v>
      </c>
      <c r="M19" s="26">
        <v>0</v>
      </c>
      <c r="N19" s="26">
        <v>1.6926959529999999</v>
      </c>
      <c r="O19" s="26">
        <v>1.6817350160000002</v>
      </c>
    </row>
    <row r="20" spans="1:15" x14ac:dyDescent="0.25">
      <c r="A20" s="22" t="s">
        <v>37</v>
      </c>
      <c r="B20" s="23" t="s">
        <v>8</v>
      </c>
      <c r="C20" s="23" t="s">
        <v>91</v>
      </c>
      <c r="D20" s="24">
        <v>2011</v>
      </c>
      <c r="E20" s="23" t="s">
        <v>94</v>
      </c>
      <c r="F20" s="25">
        <v>6.6242718107062062E-5</v>
      </c>
      <c r="G20" s="25">
        <v>6.6242718107062062E-5</v>
      </c>
      <c r="H20" s="25">
        <v>6.6242718107062062E-5</v>
      </c>
      <c r="I20" s="25">
        <v>6.6242718107062062E-5</v>
      </c>
      <c r="J20" s="25">
        <v>6.6242718107062062E-5</v>
      </c>
      <c r="K20" s="26">
        <v>0.34022260019787076</v>
      </c>
      <c r="L20" s="26">
        <v>0.34022260019787076</v>
      </c>
      <c r="M20" s="26">
        <v>0.34022260019787076</v>
      </c>
      <c r="N20" s="26">
        <v>0.34022260019787076</v>
      </c>
      <c r="O20" s="26">
        <v>0.34022260019787076</v>
      </c>
    </row>
    <row r="21" spans="1:15" x14ac:dyDescent="0.25">
      <c r="A21" s="22" t="s">
        <v>37</v>
      </c>
      <c r="B21" s="23" t="s">
        <v>8</v>
      </c>
      <c r="C21" s="23" t="s">
        <v>91</v>
      </c>
      <c r="D21" s="24">
        <v>2012</v>
      </c>
      <c r="E21" s="23" t="s">
        <v>95</v>
      </c>
      <c r="F21" s="25">
        <v>0</v>
      </c>
      <c r="G21" s="25">
        <v>1.1993912075241525E-4</v>
      </c>
      <c r="H21" s="25">
        <v>1.1993912075241525E-4</v>
      </c>
      <c r="I21" s="25">
        <v>1.1993912075241525E-4</v>
      </c>
      <c r="J21" s="25">
        <v>1.1993912075241525E-4</v>
      </c>
      <c r="K21" s="26">
        <v>0</v>
      </c>
      <c r="L21" s="26">
        <v>0.11620137195834772</v>
      </c>
      <c r="M21" s="26">
        <v>0.11620137195834772</v>
      </c>
      <c r="N21" s="26">
        <v>0.11620137195834772</v>
      </c>
      <c r="O21" s="26">
        <v>0.11620137195834772</v>
      </c>
    </row>
    <row r="22" spans="1:15" x14ac:dyDescent="0.25">
      <c r="A22" s="22" t="s">
        <v>37</v>
      </c>
      <c r="B22" s="23" t="s">
        <v>8</v>
      </c>
      <c r="C22" s="23" t="s">
        <v>91</v>
      </c>
      <c r="D22" s="24">
        <v>2011</v>
      </c>
      <c r="E22" s="23" t="s">
        <v>95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</row>
    <row r="23" spans="1:15" x14ac:dyDescent="0.25">
      <c r="A23" s="22" t="s">
        <v>35</v>
      </c>
      <c r="B23" s="23" t="s">
        <v>96</v>
      </c>
      <c r="C23" s="23" t="s">
        <v>91</v>
      </c>
      <c r="D23" s="24">
        <v>2012</v>
      </c>
      <c r="E23" s="23" t="s">
        <v>93</v>
      </c>
      <c r="F23" s="25" t="s">
        <v>37</v>
      </c>
      <c r="G23" s="25">
        <v>5.1771746299999997E-3</v>
      </c>
      <c r="H23" s="25">
        <v>5.1771746299999997E-3</v>
      </c>
      <c r="I23" s="25">
        <v>5.1771746299999997E-3</v>
      </c>
      <c r="J23" s="25">
        <v>5.1771746299999997E-3</v>
      </c>
      <c r="K23" s="26" t="s">
        <v>37</v>
      </c>
      <c r="L23" s="26">
        <v>25.176254462563001</v>
      </c>
      <c r="M23" s="26">
        <v>25.176254462563001</v>
      </c>
      <c r="N23" s="26">
        <v>25.176254462563001</v>
      </c>
      <c r="O23" s="26">
        <v>25.176254462563001</v>
      </c>
    </row>
    <row r="24" spans="1:15" x14ac:dyDescent="0.25">
      <c r="A24" s="22" t="s">
        <v>35</v>
      </c>
      <c r="B24" s="23" t="s">
        <v>96</v>
      </c>
      <c r="C24" s="23" t="s">
        <v>91</v>
      </c>
      <c r="D24" s="24">
        <v>2013</v>
      </c>
      <c r="E24" s="23" t="s">
        <v>93</v>
      </c>
      <c r="F24" s="25" t="s">
        <v>37</v>
      </c>
      <c r="G24" s="25" t="s">
        <v>37</v>
      </c>
      <c r="H24" s="25">
        <v>1.7625353245999998E-2</v>
      </c>
      <c r="I24" s="25">
        <v>1.7625353245999998E-2</v>
      </c>
      <c r="J24" s="25">
        <v>1.7625353245999998E-2</v>
      </c>
      <c r="K24" s="26" t="s">
        <v>37</v>
      </c>
      <c r="L24" s="26" t="s">
        <v>37</v>
      </c>
      <c r="M24" s="26">
        <v>96.901535593948992</v>
      </c>
      <c r="N24" s="26">
        <v>96.901535593948992</v>
      </c>
      <c r="O24" s="26">
        <v>96.901535593948992</v>
      </c>
    </row>
    <row r="25" spans="1:15" x14ac:dyDescent="0.25">
      <c r="A25" s="22" t="s">
        <v>35</v>
      </c>
      <c r="B25" s="23" t="s">
        <v>70</v>
      </c>
      <c r="C25" s="23" t="s">
        <v>91</v>
      </c>
      <c r="D25" s="24">
        <v>2012</v>
      </c>
      <c r="E25" s="23" t="s">
        <v>95</v>
      </c>
      <c r="F25" s="25">
        <v>0</v>
      </c>
      <c r="G25" s="25">
        <v>1.5531523888694347E-2</v>
      </c>
      <c r="H25" s="25">
        <v>1.5531523888694347E-2</v>
      </c>
      <c r="I25" s="25">
        <v>1.5531523888694347E-2</v>
      </c>
      <c r="J25" s="25">
        <v>1.5531523888694347E-2</v>
      </c>
      <c r="K25" s="26">
        <v>0</v>
      </c>
      <c r="L25" s="26">
        <v>75.528763387689224</v>
      </c>
      <c r="M25" s="26">
        <v>75.528763387689224</v>
      </c>
      <c r="N25" s="26">
        <v>75.528763387689224</v>
      </c>
      <c r="O25" s="26">
        <v>75.528763387689224</v>
      </c>
    </row>
    <row r="26" spans="1:15" x14ac:dyDescent="0.25">
      <c r="A26" s="22" t="s">
        <v>35</v>
      </c>
      <c r="B26" s="23" t="s">
        <v>70</v>
      </c>
      <c r="C26" s="23" t="s">
        <v>91</v>
      </c>
      <c r="D26" s="24">
        <v>2012</v>
      </c>
      <c r="E26" s="23" t="s">
        <v>92</v>
      </c>
      <c r="F26" s="25">
        <v>0</v>
      </c>
      <c r="G26" s="25">
        <v>1.7246627299999999E-4</v>
      </c>
      <c r="H26" s="25">
        <v>1.7246627299999999E-4</v>
      </c>
      <c r="I26" s="25">
        <v>1.7246627299999999E-4</v>
      </c>
      <c r="J26" s="25">
        <v>1.7246627299999999E-4</v>
      </c>
      <c r="K26" s="26">
        <v>0</v>
      </c>
      <c r="L26" s="26">
        <v>0.85405976269999995</v>
      </c>
      <c r="M26" s="26">
        <v>0.85405976269999995</v>
      </c>
      <c r="N26" s="26">
        <v>0.85405976269999995</v>
      </c>
      <c r="O26" s="26">
        <v>0.85405976269999995</v>
      </c>
    </row>
    <row r="27" spans="1:15" x14ac:dyDescent="0.25">
      <c r="A27" s="22" t="s">
        <v>35</v>
      </c>
      <c r="B27" s="23" t="s">
        <v>70</v>
      </c>
      <c r="C27" s="23" t="s">
        <v>91</v>
      </c>
      <c r="D27" s="24">
        <v>2012</v>
      </c>
      <c r="E27" s="23" t="s">
        <v>92</v>
      </c>
      <c r="F27" s="25">
        <v>0</v>
      </c>
      <c r="G27" s="25">
        <v>5.1739881799999995E-4</v>
      </c>
      <c r="H27" s="25">
        <v>5.1739881799999995E-4</v>
      </c>
      <c r="I27" s="25">
        <v>5.1739881799999995E-4</v>
      </c>
      <c r="J27" s="25">
        <v>5.1739881799999995E-4</v>
      </c>
      <c r="K27" s="26">
        <v>0</v>
      </c>
      <c r="L27" s="26">
        <v>2.5621792879999998</v>
      </c>
      <c r="M27" s="26">
        <v>2.5621792879999998</v>
      </c>
      <c r="N27" s="26">
        <v>2.5621792879999998</v>
      </c>
      <c r="O27" s="26">
        <v>2.5621792879999998</v>
      </c>
    </row>
    <row r="28" spans="1:15" x14ac:dyDescent="0.25">
      <c r="A28" s="22" t="s">
        <v>35</v>
      </c>
      <c r="B28" s="23" t="s">
        <v>70</v>
      </c>
      <c r="C28" s="23" t="s">
        <v>91</v>
      </c>
      <c r="D28" s="24">
        <v>2013</v>
      </c>
      <c r="E28" s="23" t="s">
        <v>92</v>
      </c>
      <c r="F28" s="25">
        <v>0</v>
      </c>
      <c r="G28" s="25">
        <v>0</v>
      </c>
      <c r="H28" s="25">
        <v>1.1690060000000001E-5</v>
      </c>
      <c r="I28" s="25">
        <v>1.1690060000000001E-5</v>
      </c>
      <c r="J28" s="25">
        <v>1.1690060000000001E-5</v>
      </c>
      <c r="K28" s="26">
        <v>0</v>
      </c>
      <c r="L28" s="26">
        <v>0</v>
      </c>
      <c r="M28" s="26">
        <v>6.4270189810000003E-2</v>
      </c>
      <c r="N28" s="26">
        <v>6.4270189810000003E-2</v>
      </c>
      <c r="O28" s="26">
        <v>6.4270189810000003E-2</v>
      </c>
    </row>
    <row r="29" spans="1:15" x14ac:dyDescent="0.25">
      <c r="A29" s="22" t="s">
        <v>35</v>
      </c>
      <c r="B29" s="23" t="s">
        <v>7</v>
      </c>
      <c r="C29" s="23" t="s">
        <v>91</v>
      </c>
      <c r="D29" s="24">
        <v>2011</v>
      </c>
      <c r="E29" s="23" t="s">
        <v>94</v>
      </c>
      <c r="F29" s="25">
        <v>4.6597798943888533E-2</v>
      </c>
      <c r="G29" s="25">
        <v>4.6597798943888533E-2</v>
      </c>
      <c r="H29" s="25">
        <v>4.6597798943888533E-2</v>
      </c>
      <c r="I29" s="25">
        <v>2.996297001618942E-2</v>
      </c>
      <c r="J29" s="25">
        <v>2.996297001618942E-2</v>
      </c>
      <c r="K29" s="26">
        <v>121.35632838291893</v>
      </c>
      <c r="L29" s="26">
        <v>121.35632838291893</v>
      </c>
      <c r="M29" s="26">
        <v>121.35632838291893</v>
      </c>
      <c r="N29" s="26">
        <v>71.391856888806203</v>
      </c>
      <c r="O29" s="26">
        <v>71.391856888806203</v>
      </c>
    </row>
    <row r="30" spans="1:15" x14ac:dyDescent="0.25">
      <c r="A30" s="22" t="s">
        <v>35</v>
      </c>
      <c r="B30" s="23" t="s">
        <v>7</v>
      </c>
      <c r="C30" s="23" t="s">
        <v>91</v>
      </c>
      <c r="D30" s="24">
        <v>2012</v>
      </c>
      <c r="E30" s="23" t="s">
        <v>95</v>
      </c>
      <c r="F30" s="25">
        <v>0</v>
      </c>
      <c r="G30" s="25">
        <v>8.527980498923117E-2</v>
      </c>
      <c r="H30" s="25">
        <v>8.527980498923117E-2</v>
      </c>
      <c r="I30" s="25">
        <v>8.527980498923117E-2</v>
      </c>
      <c r="J30" s="25">
        <v>6.3836756969699759E-2</v>
      </c>
      <c r="K30" s="26">
        <v>0</v>
      </c>
      <c r="L30" s="26">
        <v>315.82016315418588</v>
      </c>
      <c r="M30" s="26">
        <v>315.82016315418593</v>
      </c>
      <c r="N30" s="26">
        <v>315.82016315418593</v>
      </c>
      <c r="O30" s="26">
        <v>229.71507916366627</v>
      </c>
    </row>
    <row r="31" spans="1:15" x14ac:dyDescent="0.25">
      <c r="A31" s="22" t="s">
        <v>35</v>
      </c>
      <c r="B31" s="23" t="s">
        <v>7</v>
      </c>
      <c r="C31" s="23" t="s">
        <v>91</v>
      </c>
      <c r="D31" s="24">
        <v>2014</v>
      </c>
      <c r="E31" s="23" t="s">
        <v>92</v>
      </c>
      <c r="F31" s="25">
        <v>0</v>
      </c>
      <c r="G31" s="25">
        <v>0</v>
      </c>
      <c r="H31" s="25">
        <v>0</v>
      </c>
      <c r="I31" s="25">
        <v>0.13070909289999999</v>
      </c>
      <c r="J31" s="25">
        <v>0.12721935840000001</v>
      </c>
      <c r="K31" s="26">
        <v>0</v>
      </c>
      <c r="L31" s="26">
        <v>0</v>
      </c>
      <c r="M31" s="26">
        <v>0</v>
      </c>
      <c r="N31" s="26">
        <v>482.77206030000002</v>
      </c>
      <c r="O31" s="26">
        <v>470.354443</v>
      </c>
    </row>
    <row r="32" spans="1:15" x14ac:dyDescent="0.25">
      <c r="A32" s="22" t="s">
        <v>38</v>
      </c>
      <c r="B32" s="23" t="s">
        <v>3</v>
      </c>
      <c r="C32" s="23" t="s">
        <v>91</v>
      </c>
      <c r="D32" s="24">
        <v>2011</v>
      </c>
      <c r="E32" s="23" t="s">
        <v>94</v>
      </c>
      <c r="F32" s="25">
        <v>1.2419447543425477E-3</v>
      </c>
      <c r="G32" s="25">
        <v>1.2419447543425477E-3</v>
      </c>
      <c r="H32" s="25">
        <v>1.2419447543425477E-3</v>
      </c>
      <c r="I32" s="25">
        <v>1.2419447543425477E-3</v>
      </c>
      <c r="J32" s="25">
        <v>1.1674488649033052E-3</v>
      </c>
      <c r="K32" s="26">
        <v>20.258327684693882</v>
      </c>
      <c r="L32" s="26">
        <v>20.258327684693882</v>
      </c>
      <c r="M32" s="26">
        <v>20.258327684693882</v>
      </c>
      <c r="N32" s="26">
        <v>20.258327684693882</v>
      </c>
      <c r="O32" s="26">
        <v>18.649447704615884</v>
      </c>
    </row>
    <row r="33" spans="1:15" x14ac:dyDescent="0.25">
      <c r="A33" s="22" t="s">
        <v>38</v>
      </c>
      <c r="B33" s="23" t="s">
        <v>3</v>
      </c>
      <c r="C33" s="23" t="s">
        <v>91</v>
      </c>
      <c r="D33" s="24">
        <v>2012</v>
      </c>
      <c r="E33" s="23" t="s">
        <v>95</v>
      </c>
      <c r="F33" s="25">
        <v>0</v>
      </c>
      <c r="G33" s="25">
        <v>2.4456495911964662E-4</v>
      </c>
      <c r="H33" s="25">
        <v>2.4456495911964662E-4</v>
      </c>
      <c r="I33" s="25">
        <v>2.4456495911964662E-4</v>
      </c>
      <c r="J33" s="25">
        <v>2.4456495911964662E-4</v>
      </c>
      <c r="K33" s="26">
        <v>0</v>
      </c>
      <c r="L33" s="26">
        <v>1.4840628416218267</v>
      </c>
      <c r="M33" s="26">
        <v>1.4840628416218267</v>
      </c>
      <c r="N33" s="26">
        <v>1.4840628416218267</v>
      </c>
      <c r="O33" s="26">
        <v>1.4840628416218267</v>
      </c>
    </row>
    <row r="34" spans="1:15" x14ac:dyDescent="0.25">
      <c r="A34" s="22" t="s">
        <v>38</v>
      </c>
      <c r="B34" s="23" t="s">
        <v>3</v>
      </c>
      <c r="C34" s="23" t="s">
        <v>91</v>
      </c>
      <c r="D34" s="24">
        <v>2011</v>
      </c>
      <c r="E34" s="23" t="s">
        <v>95</v>
      </c>
      <c r="F34" s="25">
        <v>1.7087601003322936E-5</v>
      </c>
      <c r="G34" s="25">
        <v>1.7087601003322936E-5</v>
      </c>
      <c r="H34" s="25">
        <v>1.7087601003322936E-5</v>
      </c>
      <c r="I34" s="25">
        <v>1.7087601003322936E-5</v>
      </c>
      <c r="J34" s="25">
        <v>1.7087601003322936E-5</v>
      </c>
      <c r="K34" s="26">
        <v>0.29258260772743178</v>
      </c>
      <c r="L34" s="26">
        <v>0.29258260772743178</v>
      </c>
      <c r="M34" s="26">
        <v>0.29258260772743178</v>
      </c>
      <c r="N34" s="26">
        <v>0.29258260772743178</v>
      </c>
      <c r="O34" s="26">
        <v>0.29258260772743178</v>
      </c>
    </row>
    <row r="35" spans="1:15" x14ac:dyDescent="0.25">
      <c r="A35" s="22" t="s">
        <v>38</v>
      </c>
      <c r="B35" s="23" t="s">
        <v>3</v>
      </c>
      <c r="C35" s="23" t="s">
        <v>91</v>
      </c>
      <c r="D35" s="24">
        <v>2013</v>
      </c>
      <c r="E35" s="23" t="s">
        <v>92</v>
      </c>
      <c r="F35" s="25">
        <v>0</v>
      </c>
      <c r="G35" s="25">
        <v>0</v>
      </c>
      <c r="H35" s="25">
        <v>1.9999999999999999E-6</v>
      </c>
      <c r="I35" s="25">
        <v>1.9999999999999999E-6</v>
      </c>
      <c r="J35" s="25">
        <v>1.9999999999999999E-6</v>
      </c>
      <c r="K35" s="26">
        <v>0</v>
      </c>
      <c r="L35" s="26">
        <v>0</v>
      </c>
      <c r="M35" s="26">
        <v>2.5000000000000001E-2</v>
      </c>
      <c r="N35" s="26">
        <v>2.5000000000000001E-2</v>
      </c>
      <c r="O35" s="26">
        <v>2.4E-2</v>
      </c>
    </row>
    <row r="36" spans="1:15" x14ac:dyDescent="0.25">
      <c r="A36" s="22" t="s">
        <v>38</v>
      </c>
      <c r="B36" s="23" t="s">
        <v>3</v>
      </c>
      <c r="C36" s="23" t="s">
        <v>91</v>
      </c>
      <c r="D36" s="24">
        <v>2014</v>
      </c>
      <c r="E36" s="23" t="s">
        <v>92</v>
      </c>
      <c r="F36" s="25">
        <v>0</v>
      </c>
      <c r="G36" s="25">
        <v>0</v>
      </c>
      <c r="H36" s="25">
        <v>0</v>
      </c>
      <c r="I36" s="25">
        <v>2.2615328620000002E-3</v>
      </c>
      <c r="J36" s="25">
        <v>2.1323789720000003E-3</v>
      </c>
      <c r="K36" s="26">
        <v>0</v>
      </c>
      <c r="L36" s="26">
        <v>0</v>
      </c>
      <c r="M36" s="26">
        <v>0</v>
      </c>
      <c r="N36" s="26">
        <v>30.293809069999998</v>
      </c>
      <c r="O36" s="26">
        <v>28.236474789999999</v>
      </c>
    </row>
    <row r="37" spans="1:15" x14ac:dyDescent="0.25">
      <c r="A37" s="22" t="s">
        <v>38</v>
      </c>
      <c r="B37" s="23" t="s">
        <v>75</v>
      </c>
      <c r="C37" s="23" t="s">
        <v>91</v>
      </c>
      <c r="D37" s="24">
        <v>2013</v>
      </c>
      <c r="E37" s="23" t="s">
        <v>93</v>
      </c>
      <c r="F37" s="25">
        <v>0</v>
      </c>
      <c r="G37" s="25">
        <v>0</v>
      </c>
      <c r="H37" s="25">
        <v>1.2563480300000001E-3</v>
      </c>
      <c r="I37" s="25">
        <v>1.2563480300000001E-3</v>
      </c>
      <c r="J37" s="25">
        <v>1.187375114E-3</v>
      </c>
      <c r="K37" s="26">
        <v>0</v>
      </c>
      <c r="L37" s="26">
        <v>0</v>
      </c>
      <c r="M37" s="26">
        <v>18.234823176065003</v>
      </c>
      <c r="N37" s="26">
        <v>18.234823176065003</v>
      </c>
      <c r="O37" s="26">
        <v>17.136131173918997</v>
      </c>
    </row>
    <row r="38" spans="1:15" x14ac:dyDescent="0.25">
      <c r="A38" s="22" t="s">
        <v>38</v>
      </c>
      <c r="B38" s="23" t="s">
        <v>4</v>
      </c>
      <c r="C38" s="23" t="s">
        <v>91</v>
      </c>
      <c r="D38" s="24">
        <v>2011</v>
      </c>
      <c r="E38" s="23" t="s">
        <v>94</v>
      </c>
      <c r="F38" s="25">
        <v>1.7847345533881845E-3</v>
      </c>
      <c r="G38" s="25">
        <v>1.7847345533881845E-3</v>
      </c>
      <c r="H38" s="25">
        <v>1.7847345533881845E-3</v>
      </c>
      <c r="I38" s="25">
        <v>1.7847345533881845E-3</v>
      </c>
      <c r="J38" s="25">
        <v>1.6604195776538705E-3</v>
      </c>
      <c r="K38" s="26">
        <v>31.192098507151314</v>
      </c>
      <c r="L38" s="26">
        <v>31.192098507151314</v>
      </c>
      <c r="M38" s="26">
        <v>31.192098507151314</v>
      </c>
      <c r="N38" s="26">
        <v>31.192098507151314</v>
      </c>
      <c r="O38" s="26">
        <v>28.507280899249029</v>
      </c>
    </row>
    <row r="39" spans="1:15" x14ac:dyDescent="0.25">
      <c r="A39" s="22" t="s">
        <v>38</v>
      </c>
      <c r="B39" s="23" t="s">
        <v>4</v>
      </c>
      <c r="C39" s="23" t="s">
        <v>91</v>
      </c>
      <c r="D39" s="24">
        <v>2012</v>
      </c>
      <c r="E39" s="23" t="s">
        <v>95</v>
      </c>
      <c r="F39" s="25">
        <v>0</v>
      </c>
      <c r="G39" s="25">
        <v>1.5708664142590277E-3</v>
      </c>
      <c r="H39" s="25">
        <v>1.5708664142590277E-3</v>
      </c>
      <c r="I39" s="25">
        <v>1.5708664142590277E-3</v>
      </c>
      <c r="J39" s="25">
        <v>1.5708664142590277E-3</v>
      </c>
      <c r="K39" s="26">
        <v>0</v>
      </c>
      <c r="L39" s="26">
        <v>28.426287315959659</v>
      </c>
      <c r="M39" s="26">
        <v>28.426287315959659</v>
      </c>
      <c r="N39" s="26">
        <v>28.426287315959659</v>
      </c>
      <c r="O39" s="26">
        <v>28.426287315959659</v>
      </c>
    </row>
    <row r="40" spans="1:15" x14ac:dyDescent="0.25">
      <c r="A40" s="22" t="s">
        <v>38</v>
      </c>
      <c r="B40" s="23" t="s">
        <v>4</v>
      </c>
      <c r="C40" s="23" t="s">
        <v>91</v>
      </c>
      <c r="D40" s="24">
        <v>2011</v>
      </c>
      <c r="E40" s="23" t="s">
        <v>95</v>
      </c>
      <c r="F40" s="25">
        <v>1.1448780425014629E-4</v>
      </c>
      <c r="G40" s="25">
        <v>1.1448780425014629E-4</v>
      </c>
      <c r="H40" s="25">
        <v>1.1448780425014629E-4</v>
      </c>
      <c r="I40" s="25">
        <v>1.1448780425014629E-4</v>
      </c>
      <c r="J40" s="25">
        <v>1.1448780425014629E-4</v>
      </c>
      <c r="K40" s="26">
        <v>2.3174687585982978</v>
      </c>
      <c r="L40" s="26">
        <v>2.3174687585982978</v>
      </c>
      <c r="M40" s="26">
        <v>2.3174687585982978</v>
      </c>
      <c r="N40" s="26">
        <v>2.3174687585982978</v>
      </c>
      <c r="O40" s="26">
        <v>2.3174687585982978</v>
      </c>
    </row>
    <row r="41" spans="1:15" x14ac:dyDescent="0.25">
      <c r="A41" s="22" t="s">
        <v>38</v>
      </c>
      <c r="B41" s="23" t="s">
        <v>4</v>
      </c>
      <c r="C41" s="23" t="s">
        <v>91</v>
      </c>
      <c r="D41" s="24">
        <v>2014</v>
      </c>
      <c r="E41" s="23" t="s">
        <v>92</v>
      </c>
      <c r="F41" s="25">
        <v>0</v>
      </c>
      <c r="G41" s="25">
        <v>0</v>
      </c>
      <c r="H41" s="25">
        <v>0</v>
      </c>
      <c r="I41" s="25">
        <v>8.5373387449999994E-3</v>
      </c>
      <c r="J41" s="25">
        <v>7.4521701619999995E-3</v>
      </c>
      <c r="K41" s="26">
        <v>0</v>
      </c>
      <c r="L41" s="26">
        <v>0</v>
      </c>
      <c r="M41" s="26">
        <v>0</v>
      </c>
      <c r="N41" s="26">
        <v>130.45000060000001</v>
      </c>
      <c r="O41" s="26">
        <v>113.16399749999999</v>
      </c>
    </row>
    <row r="42" spans="1:15" x14ac:dyDescent="0.25">
      <c r="A42" s="22" t="s">
        <v>38</v>
      </c>
      <c r="B42" s="23" t="s">
        <v>0</v>
      </c>
      <c r="C42" s="23" t="s">
        <v>91</v>
      </c>
      <c r="D42" s="24">
        <v>2011</v>
      </c>
      <c r="E42" s="23" t="s">
        <v>94</v>
      </c>
      <c r="F42" s="25">
        <v>3.8829496823615016E-3</v>
      </c>
      <c r="G42" s="25">
        <v>3.8829496823615016E-3</v>
      </c>
      <c r="H42" s="25">
        <v>3.8829496823615016E-3</v>
      </c>
      <c r="I42" s="25">
        <v>3.7699016599587552E-3</v>
      </c>
      <c r="J42" s="25">
        <v>3.1314371794435849E-3</v>
      </c>
      <c r="K42" s="26">
        <v>28.61845960591468</v>
      </c>
      <c r="L42" s="26">
        <v>28.61845960591468</v>
      </c>
      <c r="M42" s="26">
        <v>28.61845960591468</v>
      </c>
      <c r="N42" s="26">
        <v>28.517365912172568</v>
      </c>
      <c r="O42" s="26">
        <v>23.816882936069543</v>
      </c>
    </row>
    <row r="43" spans="1:15" x14ac:dyDescent="0.25">
      <c r="A43" s="22" t="s">
        <v>38</v>
      </c>
      <c r="B43" s="23" t="s">
        <v>0</v>
      </c>
      <c r="C43" s="23" t="s">
        <v>91</v>
      </c>
      <c r="D43" s="24">
        <v>2012</v>
      </c>
      <c r="E43" s="23" t="s">
        <v>95</v>
      </c>
      <c r="F43" s="25">
        <v>0</v>
      </c>
      <c r="G43" s="25">
        <v>2.0742170278697553E-3</v>
      </c>
      <c r="H43" s="25">
        <v>2.0742170278697553E-3</v>
      </c>
      <c r="I43" s="25">
        <v>2.0742170278697553E-3</v>
      </c>
      <c r="J43" s="25">
        <v>2.0742170278697553E-3</v>
      </c>
      <c r="K43" s="26">
        <v>0</v>
      </c>
      <c r="L43" s="26">
        <v>15.584638286646951</v>
      </c>
      <c r="M43" s="26">
        <v>15.584638286646951</v>
      </c>
      <c r="N43" s="26">
        <v>15.584638286646951</v>
      </c>
      <c r="O43" s="26">
        <v>15.584638286646951</v>
      </c>
    </row>
    <row r="44" spans="1:15" x14ac:dyDescent="0.25">
      <c r="A44" s="22" t="s">
        <v>38</v>
      </c>
      <c r="B44" s="23" t="s">
        <v>0</v>
      </c>
      <c r="C44" s="23" t="s">
        <v>91</v>
      </c>
      <c r="D44" s="24">
        <v>2013</v>
      </c>
      <c r="E44" s="23" t="s">
        <v>93</v>
      </c>
      <c r="F44" s="25" t="s">
        <v>37</v>
      </c>
      <c r="G44" s="25" t="s">
        <v>37</v>
      </c>
      <c r="H44" s="25">
        <v>1.683009114E-3</v>
      </c>
      <c r="I44" s="25">
        <v>1.683009114E-3</v>
      </c>
      <c r="J44" s="25">
        <v>1.683009114E-3</v>
      </c>
      <c r="K44" s="26" t="s">
        <v>37</v>
      </c>
      <c r="L44" s="26" t="s">
        <v>37</v>
      </c>
      <c r="M44" s="26">
        <v>11.762203903565002</v>
      </c>
      <c r="N44" s="26">
        <v>11.762203903565002</v>
      </c>
      <c r="O44" s="26">
        <v>11.762203903565002</v>
      </c>
    </row>
    <row r="45" spans="1:15" x14ac:dyDescent="0.25">
      <c r="A45" s="22" t="s">
        <v>38</v>
      </c>
      <c r="B45" s="23" t="s">
        <v>0</v>
      </c>
      <c r="C45" s="23" t="s">
        <v>91</v>
      </c>
      <c r="D45" s="24">
        <v>2013</v>
      </c>
      <c r="E45" s="23" t="s">
        <v>93</v>
      </c>
      <c r="F45" s="25">
        <v>0</v>
      </c>
      <c r="G45" s="25">
        <v>0</v>
      </c>
      <c r="H45" s="25">
        <v>9.2753221948392104E-7</v>
      </c>
      <c r="I45" s="25">
        <v>9.2753221948392104E-7</v>
      </c>
      <c r="J45" s="25">
        <v>9.2753221948392104E-7</v>
      </c>
      <c r="K45" s="26">
        <v>0</v>
      </c>
      <c r="L45" s="26">
        <v>0</v>
      </c>
      <c r="M45" s="26">
        <v>6.490980624689743E-3</v>
      </c>
      <c r="N45" s="26">
        <v>6.490980624689743E-3</v>
      </c>
      <c r="O45" s="26">
        <v>6.490980624689743E-3</v>
      </c>
    </row>
    <row r="46" spans="1:15" x14ac:dyDescent="0.25">
      <c r="A46" s="22" t="s">
        <v>38</v>
      </c>
      <c r="B46" s="23" t="s">
        <v>0</v>
      </c>
      <c r="C46" s="23" t="s">
        <v>91</v>
      </c>
      <c r="D46" s="24">
        <v>2014</v>
      </c>
      <c r="E46" s="23" t="s">
        <v>92</v>
      </c>
      <c r="F46" s="25">
        <v>0</v>
      </c>
      <c r="G46" s="25">
        <v>0</v>
      </c>
      <c r="H46" s="25">
        <v>0</v>
      </c>
      <c r="I46" s="25">
        <v>1.1675429700000001E-4</v>
      </c>
      <c r="J46" s="25">
        <v>1.1675429700000001E-4</v>
      </c>
      <c r="K46" s="26">
        <v>0</v>
      </c>
      <c r="L46" s="26">
        <v>0</v>
      </c>
      <c r="M46" s="26">
        <v>0</v>
      </c>
      <c r="N46" s="26">
        <v>0.10440804660000001</v>
      </c>
      <c r="O46" s="26">
        <v>0.10440804660000001</v>
      </c>
    </row>
    <row r="47" spans="1:15" x14ac:dyDescent="0.25">
      <c r="A47" s="22" t="s">
        <v>38</v>
      </c>
      <c r="B47" s="23" t="s">
        <v>0</v>
      </c>
      <c r="C47" s="23" t="s">
        <v>91</v>
      </c>
      <c r="D47" s="24">
        <v>2014</v>
      </c>
      <c r="E47" s="23" t="s">
        <v>92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x14ac:dyDescent="0.25">
      <c r="A48" s="22" t="s">
        <v>38</v>
      </c>
      <c r="B48" s="23" t="s">
        <v>0</v>
      </c>
      <c r="C48" s="23" t="s">
        <v>91</v>
      </c>
      <c r="D48" s="24">
        <v>2014</v>
      </c>
      <c r="E48" s="23" t="s">
        <v>92</v>
      </c>
      <c r="F48" s="25">
        <v>0</v>
      </c>
      <c r="G48" s="25">
        <v>0</v>
      </c>
      <c r="H48" s="25">
        <v>0</v>
      </c>
      <c r="I48" s="25">
        <v>6.9666933568033327E-4</v>
      </c>
      <c r="J48" s="25">
        <v>6.9666933568033327E-4</v>
      </c>
      <c r="K48" s="26">
        <v>0</v>
      </c>
      <c r="L48" s="26">
        <v>0</v>
      </c>
      <c r="M48" s="26">
        <v>0</v>
      </c>
      <c r="N48" s="26">
        <v>5.0442820949813312</v>
      </c>
      <c r="O48" s="26">
        <v>5.0442820949813312</v>
      </c>
    </row>
    <row r="49" spans="1:15" x14ac:dyDescent="0.25">
      <c r="A49" s="22" t="s">
        <v>38</v>
      </c>
      <c r="B49" s="23" t="s">
        <v>0</v>
      </c>
      <c r="C49" s="23" t="s">
        <v>91</v>
      </c>
      <c r="D49" s="24">
        <v>2014</v>
      </c>
      <c r="E49" s="23" t="s">
        <v>92</v>
      </c>
      <c r="F49" s="25">
        <v>0</v>
      </c>
      <c r="G49" s="25">
        <v>0</v>
      </c>
      <c r="H49" s="25">
        <v>0</v>
      </c>
      <c r="I49" s="25">
        <v>1.3804422311192955E-3</v>
      </c>
      <c r="J49" s="25">
        <v>1.3804422311192955E-3</v>
      </c>
      <c r="K49" s="26">
        <v>0</v>
      </c>
      <c r="L49" s="26">
        <v>0</v>
      </c>
      <c r="M49" s="26">
        <v>0</v>
      </c>
      <c r="N49" s="26">
        <v>9.3930540680589321</v>
      </c>
      <c r="O49" s="26">
        <v>9.3930540680589321</v>
      </c>
    </row>
    <row r="50" spans="1:15" x14ac:dyDescent="0.25">
      <c r="A50" s="22" t="s">
        <v>38</v>
      </c>
      <c r="B50" s="23" t="s">
        <v>1</v>
      </c>
      <c r="C50" s="23" t="s">
        <v>91</v>
      </c>
      <c r="D50" s="24">
        <v>2011</v>
      </c>
      <c r="E50" s="23" t="s">
        <v>94</v>
      </c>
      <c r="F50" s="25">
        <v>5.9292566835453188E-4</v>
      </c>
      <c r="G50" s="25">
        <v>5.9292566835453188E-4</v>
      </c>
      <c r="H50" s="25">
        <v>5.9292566835453188E-4</v>
      </c>
      <c r="I50" s="25">
        <v>3.3097133860021818E-4</v>
      </c>
      <c r="J50" s="25">
        <v>0</v>
      </c>
      <c r="K50" s="26">
        <v>0.82439615971053559</v>
      </c>
      <c r="L50" s="26">
        <v>0.82439615971053559</v>
      </c>
      <c r="M50" s="26">
        <v>0.82439615971053559</v>
      </c>
      <c r="N50" s="26">
        <v>0.59014234240573282</v>
      </c>
      <c r="O50" s="26">
        <v>0</v>
      </c>
    </row>
    <row r="51" spans="1:15" x14ac:dyDescent="0.25">
      <c r="A51" s="22" t="s">
        <v>38</v>
      </c>
      <c r="B51" s="23" t="s">
        <v>1</v>
      </c>
      <c r="C51" s="23" t="s">
        <v>91</v>
      </c>
      <c r="D51" s="24">
        <v>2012</v>
      </c>
      <c r="E51" s="23" t="s">
        <v>95</v>
      </c>
      <c r="F51" s="25">
        <v>0</v>
      </c>
      <c r="G51" s="25">
        <v>1.3321906929438393E-3</v>
      </c>
      <c r="H51" s="25">
        <v>1.3321906929438393E-3</v>
      </c>
      <c r="I51" s="25">
        <v>1.3321906929438393E-3</v>
      </c>
      <c r="J51" s="25">
        <v>1.2448983172735045E-3</v>
      </c>
      <c r="K51" s="26">
        <v>0</v>
      </c>
      <c r="L51" s="26">
        <v>2.2977921958214571</v>
      </c>
      <c r="M51" s="26">
        <v>2.2977921958214571</v>
      </c>
      <c r="N51" s="26">
        <v>2.2977921958214571</v>
      </c>
      <c r="O51" s="26">
        <v>2.2197306030180117</v>
      </c>
    </row>
    <row r="52" spans="1:15" x14ac:dyDescent="0.25">
      <c r="A52" s="22" t="s">
        <v>38</v>
      </c>
      <c r="B52" s="23" t="s">
        <v>1</v>
      </c>
      <c r="C52" s="23" t="s">
        <v>91</v>
      </c>
      <c r="D52" s="24">
        <v>2013</v>
      </c>
      <c r="E52" s="23" t="s">
        <v>93</v>
      </c>
      <c r="F52" s="25" t="s">
        <v>37</v>
      </c>
      <c r="G52" s="25" t="s">
        <v>37</v>
      </c>
      <c r="H52" s="25">
        <v>2.0719409899999999E-4</v>
      </c>
      <c r="I52" s="25">
        <v>2.0719409899999999E-4</v>
      </c>
      <c r="J52" s="25">
        <v>2.0719409899999999E-4</v>
      </c>
      <c r="K52" s="26" t="s">
        <v>37</v>
      </c>
      <c r="L52" s="26" t="s">
        <v>37</v>
      </c>
      <c r="M52" s="26">
        <v>0.369439878</v>
      </c>
      <c r="N52" s="26">
        <v>0.369439878</v>
      </c>
      <c r="O52" s="26">
        <v>0.369439878</v>
      </c>
    </row>
    <row r="53" spans="1:15" x14ac:dyDescent="0.25">
      <c r="A53" s="22" t="s">
        <v>38</v>
      </c>
      <c r="B53" s="23" t="s">
        <v>1</v>
      </c>
      <c r="C53" s="23" t="s">
        <v>91</v>
      </c>
      <c r="D53" s="24">
        <v>2014</v>
      </c>
      <c r="E53" s="23" t="s">
        <v>92</v>
      </c>
      <c r="F53" s="25">
        <v>0</v>
      </c>
      <c r="G53" s="25">
        <v>0</v>
      </c>
      <c r="H53" s="25">
        <v>0</v>
      </c>
      <c r="I53" s="25">
        <v>4.1438819799999999E-4</v>
      </c>
      <c r="J53" s="25">
        <v>4.1438819799999999E-4</v>
      </c>
      <c r="K53" s="26">
        <v>0</v>
      </c>
      <c r="L53" s="26">
        <v>0</v>
      </c>
      <c r="M53" s="26">
        <v>0</v>
      </c>
      <c r="N53" s="26">
        <v>0.73887975589999999</v>
      </c>
      <c r="O53" s="26">
        <v>0.73887975589999999</v>
      </c>
    </row>
    <row r="54" spans="1:15" x14ac:dyDescent="0.25">
      <c r="A54" s="22" t="s">
        <v>38</v>
      </c>
      <c r="B54" s="23" t="s">
        <v>74</v>
      </c>
      <c r="C54" s="23" t="s">
        <v>91</v>
      </c>
      <c r="D54" s="24">
        <v>2013</v>
      </c>
      <c r="E54" s="23" t="s">
        <v>93</v>
      </c>
      <c r="F54" s="25">
        <v>0</v>
      </c>
      <c r="G54" s="25">
        <v>0</v>
      </c>
      <c r="H54" s="25">
        <v>5.4830841300000004E-4</v>
      </c>
      <c r="I54" s="25">
        <v>5.4830841300000004E-4</v>
      </c>
      <c r="J54" s="25">
        <v>5.2851740400000006E-4</v>
      </c>
      <c r="K54" s="26">
        <v>0</v>
      </c>
      <c r="L54" s="26">
        <v>0</v>
      </c>
      <c r="M54" s="26">
        <v>8.1808807287030003</v>
      </c>
      <c r="N54" s="26">
        <v>8.1808807287030003</v>
      </c>
      <c r="O54" s="26">
        <v>7.8656233100870008</v>
      </c>
    </row>
    <row r="55" spans="1:15" x14ac:dyDescent="0.25">
      <c r="A55" s="22"/>
      <c r="B55" s="23"/>
      <c r="C55" s="23"/>
      <c r="D55" s="24"/>
      <c r="E55" s="23"/>
      <c r="F55" s="25"/>
      <c r="G55" s="25"/>
      <c r="H55" s="25"/>
      <c r="I55" s="25"/>
      <c r="J55" s="25"/>
      <c r="K55" s="26"/>
      <c r="L55" s="26"/>
      <c r="M55" s="26"/>
      <c r="N55" s="26"/>
      <c r="O55" s="26"/>
    </row>
    <row r="56" spans="1:15" x14ac:dyDescent="0.25">
      <c r="A56" s="22"/>
      <c r="B56" s="23"/>
      <c r="C56" s="23"/>
      <c r="D56" s="24"/>
      <c r="E56" s="23"/>
      <c r="F56" s="25"/>
      <c r="G56" s="25"/>
      <c r="H56" s="25"/>
      <c r="I56" s="25"/>
      <c r="J56" s="25"/>
      <c r="K56" s="26"/>
      <c r="L56" s="26"/>
      <c r="M56" s="26"/>
      <c r="N56" s="26"/>
      <c r="O56" s="26"/>
    </row>
    <row r="57" spans="1:15" x14ac:dyDescent="0.25">
      <c r="A57" s="22"/>
      <c r="B57" s="23"/>
      <c r="C57" s="23"/>
      <c r="D57" s="24"/>
      <c r="E57" s="23"/>
      <c r="F57" s="25"/>
      <c r="G57" s="25"/>
      <c r="H57" s="25"/>
      <c r="I57" s="25"/>
      <c r="J57" s="25"/>
      <c r="K57" s="26"/>
      <c r="L57" s="26"/>
      <c r="M57" s="26"/>
      <c r="N57" s="26"/>
      <c r="O57" s="26"/>
    </row>
    <row r="58" spans="1:15" x14ac:dyDescent="0.25">
      <c r="A58" s="22"/>
      <c r="B58" s="23"/>
      <c r="C58" s="23"/>
      <c r="D58" s="24"/>
      <c r="E58" s="23"/>
      <c r="F58" s="25"/>
      <c r="G58" s="25"/>
      <c r="H58" s="25"/>
      <c r="I58" s="25"/>
      <c r="J58" s="25"/>
      <c r="K58" s="26"/>
      <c r="L58" s="26"/>
      <c r="M58" s="26"/>
      <c r="N58" s="26"/>
      <c r="O58" s="26"/>
    </row>
    <row r="59" spans="1:15" x14ac:dyDescent="0.25">
      <c r="A59" s="22"/>
      <c r="B59" s="23"/>
      <c r="C59" s="23"/>
      <c r="D59" s="24"/>
      <c r="E59" s="23"/>
      <c r="F59" s="25"/>
      <c r="G59" s="25"/>
      <c r="H59" s="25"/>
      <c r="I59" s="25"/>
      <c r="J59" s="25"/>
      <c r="K59" s="26"/>
      <c r="L59" s="26"/>
      <c r="M59" s="26"/>
      <c r="N59" s="26"/>
      <c r="O59" s="26"/>
    </row>
    <row r="60" spans="1:15" x14ac:dyDescent="0.25">
      <c r="A60" s="22"/>
      <c r="B60" s="23"/>
      <c r="C60" s="23"/>
      <c r="D60" s="24"/>
      <c r="E60" s="23"/>
      <c r="F60" s="25"/>
      <c r="G60" s="25"/>
      <c r="H60" s="25"/>
      <c r="I60" s="25"/>
      <c r="J60" s="25"/>
      <c r="K60" s="26"/>
      <c r="L60" s="26"/>
      <c r="M60" s="26"/>
      <c r="N60" s="26"/>
      <c r="O60" s="26"/>
    </row>
    <row r="61" spans="1:15" x14ac:dyDescent="0.25">
      <c r="A61" s="22"/>
      <c r="B61" s="23"/>
      <c r="C61" s="23"/>
      <c r="D61" s="24"/>
      <c r="E61" s="23"/>
      <c r="F61" s="25"/>
      <c r="G61" s="25"/>
      <c r="H61" s="25"/>
      <c r="I61" s="25"/>
      <c r="J61" s="25"/>
      <c r="K61" s="26"/>
      <c r="L61" s="26"/>
      <c r="M61" s="26"/>
      <c r="N61" s="26"/>
      <c r="O61" s="26"/>
    </row>
    <row r="62" spans="1:15" x14ac:dyDescent="0.25">
      <c r="A62" s="22"/>
      <c r="B62" s="23"/>
      <c r="C62" s="23"/>
      <c r="D62" s="24"/>
      <c r="E62" s="23"/>
      <c r="F62" s="25"/>
      <c r="G62" s="25"/>
      <c r="H62" s="25"/>
      <c r="I62" s="25"/>
      <c r="J62" s="25"/>
      <c r="K62" s="26"/>
      <c r="L62" s="26"/>
      <c r="M62" s="26"/>
      <c r="N62" s="26"/>
      <c r="O62" s="26"/>
    </row>
    <row r="63" spans="1:15" x14ac:dyDescent="0.25">
      <c r="A63" s="22"/>
      <c r="B63" s="23"/>
      <c r="C63" s="23"/>
      <c r="D63" s="24"/>
      <c r="E63" s="23"/>
      <c r="F63" s="25"/>
      <c r="G63" s="25"/>
      <c r="H63" s="25"/>
      <c r="I63" s="25"/>
      <c r="J63" s="25"/>
      <c r="K63" s="26"/>
      <c r="L63" s="26"/>
      <c r="M63" s="26"/>
      <c r="N63" s="26"/>
      <c r="O63" s="26"/>
    </row>
    <row r="64" spans="1:15" x14ac:dyDescent="0.25">
      <c r="A64" s="22"/>
      <c r="B64" s="23"/>
      <c r="C64" s="23"/>
      <c r="D64" s="24"/>
      <c r="E64" s="23"/>
      <c r="F64" s="25"/>
      <c r="G64" s="25"/>
      <c r="H64" s="25"/>
      <c r="I64" s="25"/>
      <c r="J64" s="25"/>
      <c r="K64" s="26"/>
      <c r="L64" s="26"/>
      <c r="M64" s="26"/>
      <c r="N64" s="26"/>
      <c r="O64" s="26"/>
    </row>
    <row r="65" spans="1:15" x14ac:dyDescent="0.25">
      <c r="A65" s="22"/>
      <c r="B65" s="23"/>
      <c r="C65" s="23"/>
      <c r="D65" s="24"/>
      <c r="E65" s="23"/>
      <c r="F65" s="25"/>
      <c r="G65" s="25"/>
      <c r="H65" s="25"/>
      <c r="I65" s="25"/>
      <c r="J65" s="25"/>
      <c r="K65" s="26"/>
      <c r="L65" s="26"/>
      <c r="M65" s="26"/>
      <c r="N65" s="26"/>
      <c r="O65" s="26"/>
    </row>
    <row r="66" spans="1:15" x14ac:dyDescent="0.25">
      <c r="A66" s="22"/>
      <c r="B66" s="23"/>
      <c r="C66" s="23"/>
      <c r="D66" s="24"/>
      <c r="E66" s="23"/>
      <c r="F66" s="25"/>
      <c r="G66" s="25"/>
      <c r="H66" s="25"/>
      <c r="I66" s="25"/>
      <c r="J66" s="25"/>
      <c r="K66" s="26"/>
      <c r="L66" s="26"/>
      <c r="M66" s="26"/>
      <c r="N66" s="26"/>
      <c r="O66" s="26"/>
    </row>
    <row r="67" spans="1:15" x14ac:dyDescent="0.25">
      <c r="A67" s="22"/>
      <c r="B67" s="23"/>
      <c r="C67" s="23"/>
      <c r="D67" s="24"/>
      <c r="E67" s="23"/>
      <c r="F67" s="25"/>
      <c r="G67" s="25"/>
      <c r="H67" s="25"/>
      <c r="I67" s="25"/>
      <c r="J67" s="25"/>
      <c r="K67" s="26"/>
      <c r="L67" s="26"/>
      <c r="M67" s="26"/>
      <c r="N67" s="26"/>
      <c r="O67" s="26"/>
    </row>
    <row r="68" spans="1:15" x14ac:dyDescent="0.25">
      <c r="A68" s="22"/>
      <c r="B68" s="23"/>
      <c r="C68" s="23"/>
      <c r="D68" s="24"/>
      <c r="E68" s="23"/>
      <c r="F68" s="25"/>
      <c r="G68" s="25"/>
      <c r="H68" s="25"/>
      <c r="I68" s="25"/>
      <c r="J68" s="25"/>
      <c r="K68" s="26"/>
      <c r="L68" s="26"/>
      <c r="M68" s="26"/>
      <c r="N68" s="26"/>
      <c r="O68" s="26"/>
    </row>
    <row r="69" spans="1:15" x14ac:dyDescent="0.25">
      <c r="A69" s="22"/>
      <c r="B69" s="23"/>
      <c r="C69" s="23"/>
      <c r="D69" s="24"/>
      <c r="E69" s="23"/>
      <c r="F69" s="25"/>
      <c r="G69" s="25"/>
      <c r="H69" s="25"/>
      <c r="I69" s="25"/>
      <c r="J69" s="25"/>
      <c r="K69" s="26"/>
      <c r="L69" s="26"/>
      <c r="M69" s="26"/>
      <c r="N69" s="26"/>
      <c r="O69" s="26"/>
    </row>
    <row r="70" spans="1:15" x14ac:dyDescent="0.25">
      <c r="A70" s="22"/>
      <c r="B70" s="23"/>
      <c r="C70" s="23"/>
      <c r="D70" s="24"/>
      <c r="E70" s="23"/>
      <c r="F70" s="25"/>
      <c r="G70" s="25"/>
      <c r="H70" s="25"/>
      <c r="I70" s="25"/>
      <c r="J70" s="25"/>
      <c r="K70" s="26"/>
      <c r="L70" s="26"/>
      <c r="M70" s="26"/>
      <c r="N70" s="26"/>
      <c r="O70" s="26"/>
    </row>
    <row r="71" spans="1:15" x14ac:dyDescent="0.25">
      <c r="A71" s="22"/>
      <c r="B71" s="23"/>
      <c r="C71" s="23"/>
      <c r="D71" s="24"/>
      <c r="E71" s="23"/>
      <c r="F71" s="25"/>
      <c r="G71" s="25"/>
      <c r="H71" s="25"/>
      <c r="I71" s="25"/>
      <c r="J71" s="25"/>
      <c r="K71" s="26"/>
      <c r="L71" s="26"/>
      <c r="M71" s="26"/>
      <c r="N71" s="26"/>
      <c r="O71" s="26"/>
    </row>
    <row r="72" spans="1:15" x14ac:dyDescent="0.25">
      <c r="A72" s="22"/>
      <c r="B72" s="23"/>
      <c r="C72" s="23"/>
      <c r="D72" s="24"/>
      <c r="E72" s="23"/>
      <c r="F72" s="25"/>
      <c r="G72" s="25"/>
      <c r="H72" s="25"/>
      <c r="I72" s="25"/>
      <c r="J72" s="25"/>
      <c r="K72" s="26"/>
      <c r="L72" s="26"/>
      <c r="M72" s="26"/>
      <c r="N72" s="26"/>
      <c r="O72" s="26"/>
    </row>
    <row r="73" spans="1:15" x14ac:dyDescent="0.25">
      <c r="A73" s="22"/>
      <c r="B73" s="23"/>
      <c r="C73" s="23"/>
      <c r="D73" s="24"/>
      <c r="E73" s="23"/>
      <c r="F73" s="25"/>
      <c r="G73" s="25"/>
      <c r="H73" s="25"/>
      <c r="I73" s="25"/>
      <c r="J73" s="25"/>
      <c r="K73" s="26"/>
      <c r="L73" s="26"/>
      <c r="M73" s="26"/>
      <c r="N73" s="26"/>
      <c r="O73" s="26"/>
    </row>
    <row r="74" spans="1:15" x14ac:dyDescent="0.25">
      <c r="A74" s="22"/>
      <c r="B74" s="23"/>
      <c r="C74" s="23"/>
      <c r="D74" s="24"/>
      <c r="E74" s="23"/>
      <c r="F74" s="25"/>
      <c r="G74" s="25"/>
      <c r="H74" s="25"/>
      <c r="I74" s="25"/>
      <c r="J74" s="25"/>
      <c r="K74" s="26"/>
      <c r="L74" s="26"/>
      <c r="M74" s="26"/>
      <c r="N74" s="26"/>
      <c r="O74" s="26"/>
    </row>
    <row r="75" spans="1:15" x14ac:dyDescent="0.25">
      <c r="A75" s="22"/>
      <c r="B75" s="23"/>
      <c r="C75" s="23"/>
      <c r="D75" s="24"/>
      <c r="E75" s="23"/>
      <c r="F75" s="25"/>
      <c r="G75" s="25"/>
      <c r="H75" s="25"/>
      <c r="I75" s="25"/>
      <c r="J75" s="25"/>
      <c r="K75" s="26"/>
      <c r="L75" s="26"/>
      <c r="M75" s="26"/>
      <c r="N75" s="26"/>
      <c r="O75" s="26"/>
    </row>
    <row r="76" spans="1:15" x14ac:dyDescent="0.25">
      <c r="A76" s="22"/>
      <c r="B76" s="23"/>
      <c r="C76" s="23"/>
      <c r="D76" s="24"/>
      <c r="E76" s="23"/>
      <c r="F76" s="25"/>
      <c r="G76" s="25"/>
      <c r="H76" s="25"/>
      <c r="I76" s="25"/>
      <c r="J76" s="25"/>
      <c r="K76" s="26"/>
      <c r="L76" s="26"/>
      <c r="M76" s="26"/>
      <c r="N76" s="26"/>
      <c r="O76" s="26"/>
    </row>
    <row r="77" spans="1:15" x14ac:dyDescent="0.25">
      <c r="A77" s="22"/>
      <c r="B77" s="23"/>
      <c r="C77" s="23"/>
      <c r="D77" s="24"/>
      <c r="E77" s="23"/>
      <c r="F77" s="25"/>
      <c r="G77" s="25"/>
      <c r="H77" s="25"/>
      <c r="I77" s="25"/>
      <c r="J77" s="25"/>
      <c r="K77" s="26"/>
      <c r="L77" s="26"/>
      <c r="M77" s="26"/>
      <c r="N77" s="26"/>
      <c r="O77" s="26"/>
    </row>
    <row r="78" spans="1:15" x14ac:dyDescent="0.25">
      <c r="A78" s="22"/>
      <c r="B78" s="23"/>
      <c r="C78" s="23"/>
      <c r="D78" s="24"/>
      <c r="E78" s="23"/>
      <c r="F78" s="25"/>
      <c r="G78" s="25"/>
      <c r="H78" s="25"/>
      <c r="I78" s="25"/>
      <c r="J78" s="25"/>
      <c r="K78" s="26"/>
      <c r="L78" s="26"/>
      <c r="M78" s="26"/>
      <c r="N78" s="26"/>
      <c r="O78" s="26"/>
    </row>
    <row r="79" spans="1:15" x14ac:dyDescent="0.25">
      <c r="A79" s="22"/>
      <c r="B79" s="23"/>
      <c r="C79" s="23"/>
      <c r="D79" s="24"/>
      <c r="E79" s="23"/>
      <c r="F79" s="25"/>
      <c r="G79" s="25"/>
      <c r="H79" s="25"/>
      <c r="I79" s="25"/>
      <c r="J79" s="25"/>
      <c r="K79" s="26"/>
      <c r="L79" s="26"/>
      <c r="M79" s="26"/>
      <c r="N79" s="26"/>
      <c r="O79" s="26"/>
    </row>
    <row r="80" spans="1:15" x14ac:dyDescent="0.25">
      <c r="A80" s="22"/>
      <c r="B80" s="23"/>
      <c r="C80" s="23"/>
      <c r="D80" s="24"/>
      <c r="E80" s="23"/>
      <c r="F80" s="25"/>
      <c r="G80" s="25"/>
      <c r="H80" s="25"/>
      <c r="I80" s="25"/>
      <c r="J80" s="25"/>
      <c r="K80" s="26"/>
      <c r="L80" s="26"/>
      <c r="M80" s="26"/>
      <c r="N80" s="26"/>
      <c r="O80" s="26"/>
    </row>
    <row r="81" spans="1:15" x14ac:dyDescent="0.25">
      <c r="A81" s="22"/>
      <c r="B81" s="23"/>
      <c r="C81" s="23"/>
      <c r="D81" s="24"/>
      <c r="E81" s="23"/>
      <c r="F81" s="25"/>
      <c r="G81" s="25"/>
      <c r="H81" s="25"/>
      <c r="I81" s="25"/>
      <c r="J81" s="25"/>
      <c r="K81" s="26"/>
      <c r="L81" s="26"/>
      <c r="M81" s="26"/>
      <c r="N81" s="26"/>
      <c r="O81" s="26"/>
    </row>
    <row r="82" spans="1:15" x14ac:dyDescent="0.25">
      <c r="A82" s="22"/>
      <c r="B82" s="23"/>
      <c r="C82" s="23"/>
      <c r="D82" s="24"/>
      <c r="E82" s="23"/>
      <c r="F82" s="25"/>
      <c r="G82" s="25"/>
      <c r="H82" s="25"/>
      <c r="I82" s="25"/>
      <c r="J82" s="25"/>
      <c r="K82" s="26"/>
      <c r="L82" s="26"/>
      <c r="M82" s="26"/>
      <c r="N82" s="26"/>
      <c r="O82" s="26"/>
    </row>
    <row r="83" spans="1:15" x14ac:dyDescent="0.25">
      <c r="A83" s="22"/>
      <c r="B83" s="23"/>
      <c r="C83" s="23"/>
      <c r="D83" s="24"/>
      <c r="E83" s="23"/>
      <c r="F83" s="25"/>
      <c r="G83" s="25"/>
      <c r="H83" s="25"/>
      <c r="I83" s="25"/>
      <c r="J83" s="25"/>
      <c r="K83" s="26"/>
      <c r="L83" s="26"/>
      <c r="M83" s="26"/>
      <c r="N83" s="26"/>
      <c r="O83" s="26"/>
    </row>
    <row r="84" spans="1:15" x14ac:dyDescent="0.25">
      <c r="A84" s="22"/>
      <c r="B84" s="23"/>
      <c r="C84" s="23"/>
      <c r="D84" s="24"/>
      <c r="E84" s="23"/>
      <c r="F84" s="25"/>
      <c r="G84" s="25"/>
      <c r="H84" s="25"/>
      <c r="I84" s="25"/>
      <c r="J84" s="25"/>
      <c r="K84" s="26"/>
      <c r="L84" s="26"/>
      <c r="M84" s="26"/>
      <c r="N84" s="26"/>
      <c r="O84" s="26"/>
    </row>
    <row r="85" spans="1:15" x14ac:dyDescent="0.25">
      <c r="A85" s="22"/>
      <c r="B85" s="23"/>
      <c r="C85" s="23"/>
      <c r="D85" s="24"/>
      <c r="E85" s="23"/>
      <c r="F85" s="25"/>
      <c r="G85" s="25"/>
      <c r="H85" s="25"/>
      <c r="I85" s="25"/>
      <c r="J85" s="25"/>
      <c r="K85" s="26"/>
      <c r="L85" s="26"/>
      <c r="M85" s="26"/>
      <c r="N85" s="26"/>
      <c r="O85" s="26"/>
    </row>
    <row r="86" spans="1:15" x14ac:dyDescent="0.25">
      <c r="A86" s="22"/>
      <c r="B86" s="23"/>
      <c r="C86" s="23"/>
      <c r="D86" s="24"/>
      <c r="E86" s="23"/>
      <c r="F86" s="25"/>
      <c r="G86" s="25"/>
      <c r="H86" s="25"/>
      <c r="I86" s="25"/>
      <c r="J86" s="25"/>
      <c r="K86" s="26"/>
      <c r="L86" s="26"/>
      <c r="M86" s="26"/>
      <c r="N86" s="26"/>
      <c r="O86" s="26"/>
    </row>
    <row r="87" spans="1:15" x14ac:dyDescent="0.25">
      <c r="A87" s="22"/>
      <c r="B87" s="23"/>
      <c r="C87" s="23"/>
      <c r="D87" s="24"/>
      <c r="E87" s="23"/>
      <c r="F87" s="25"/>
      <c r="G87" s="25"/>
      <c r="H87" s="25"/>
      <c r="I87" s="25"/>
      <c r="J87" s="25"/>
      <c r="K87" s="26"/>
      <c r="L87" s="26"/>
      <c r="M87" s="26"/>
      <c r="N87" s="26"/>
      <c r="O87" s="26"/>
    </row>
    <row r="88" spans="1:15" x14ac:dyDescent="0.25">
      <c r="A88" s="22"/>
      <c r="B88" s="23"/>
      <c r="C88" s="23"/>
      <c r="D88" s="24"/>
      <c r="E88" s="23"/>
      <c r="F88" s="25"/>
      <c r="G88" s="25"/>
      <c r="H88" s="25"/>
      <c r="I88" s="25"/>
      <c r="J88" s="25"/>
      <c r="K88" s="26"/>
      <c r="L88" s="26"/>
      <c r="M88" s="26"/>
      <c r="N88" s="26"/>
      <c r="O88" s="26"/>
    </row>
    <row r="89" spans="1:15" x14ac:dyDescent="0.25">
      <c r="A89" s="22"/>
      <c r="B89" s="23"/>
      <c r="C89" s="23"/>
      <c r="D89" s="24"/>
      <c r="E89" s="23"/>
      <c r="F89" s="25"/>
      <c r="G89" s="25"/>
      <c r="H89" s="25"/>
      <c r="I89" s="25"/>
      <c r="J89" s="25"/>
      <c r="K89" s="26"/>
      <c r="L89" s="26"/>
      <c r="M89" s="26"/>
      <c r="N89" s="26"/>
      <c r="O89" s="26"/>
    </row>
    <row r="90" spans="1:15" x14ac:dyDescent="0.25">
      <c r="A90" s="22"/>
      <c r="B90" s="23"/>
      <c r="C90" s="23"/>
      <c r="D90" s="24"/>
      <c r="E90" s="23"/>
      <c r="F90" s="25"/>
      <c r="G90" s="25"/>
      <c r="H90" s="25"/>
      <c r="I90" s="25"/>
      <c r="J90" s="25"/>
      <c r="K90" s="26"/>
      <c r="L90" s="26"/>
      <c r="M90" s="26"/>
      <c r="N90" s="26"/>
      <c r="O90" s="26"/>
    </row>
    <row r="91" spans="1:15" x14ac:dyDescent="0.25">
      <c r="A91" s="22"/>
      <c r="B91" s="23"/>
      <c r="C91" s="23"/>
      <c r="D91" s="24"/>
      <c r="E91" s="23"/>
      <c r="F91" s="25"/>
      <c r="G91" s="25"/>
      <c r="H91" s="25"/>
      <c r="I91" s="25"/>
      <c r="J91" s="25"/>
      <c r="K91" s="26"/>
      <c r="L91" s="26"/>
      <c r="M91" s="26"/>
      <c r="N91" s="26"/>
      <c r="O91" s="26"/>
    </row>
    <row r="92" spans="1:15" x14ac:dyDescent="0.25">
      <c r="A92" s="22"/>
      <c r="B92" s="23"/>
      <c r="C92" s="23"/>
      <c r="D92" s="24"/>
      <c r="E92" s="23"/>
      <c r="F92" s="25"/>
      <c r="G92" s="25"/>
      <c r="H92" s="25"/>
      <c r="I92" s="25"/>
      <c r="J92" s="25"/>
      <c r="K92" s="26"/>
      <c r="L92" s="26"/>
      <c r="M92" s="26"/>
      <c r="N92" s="26"/>
      <c r="O92" s="26"/>
    </row>
    <row r="93" spans="1:15" x14ac:dyDescent="0.25">
      <c r="A93" s="22"/>
      <c r="B93" s="23"/>
      <c r="C93" s="23"/>
      <c r="D93" s="24"/>
      <c r="E93" s="23"/>
      <c r="F93" s="25"/>
      <c r="G93" s="25"/>
      <c r="H93" s="25"/>
      <c r="I93" s="25"/>
      <c r="J93" s="25"/>
      <c r="K93" s="26"/>
      <c r="L93" s="26"/>
      <c r="M93" s="26"/>
      <c r="N93" s="26"/>
      <c r="O93" s="26"/>
    </row>
    <row r="94" spans="1:15" x14ac:dyDescent="0.25">
      <c r="A94" s="22"/>
      <c r="B94" s="23"/>
      <c r="C94" s="23"/>
      <c r="D94" s="24"/>
      <c r="E94" s="23"/>
      <c r="F94" s="25"/>
      <c r="G94" s="25"/>
      <c r="H94" s="25"/>
      <c r="I94" s="25"/>
      <c r="J94" s="25"/>
      <c r="K94" s="26"/>
      <c r="L94" s="26"/>
      <c r="M94" s="26"/>
      <c r="N94" s="26"/>
      <c r="O94" s="26"/>
    </row>
    <row r="95" spans="1:15" x14ac:dyDescent="0.25">
      <c r="A95" s="22"/>
      <c r="B95" s="23"/>
      <c r="C95" s="23"/>
      <c r="D95" s="24"/>
      <c r="E95" s="23"/>
      <c r="F95" s="25"/>
      <c r="G95" s="25"/>
      <c r="H95" s="25"/>
      <c r="I95" s="25"/>
      <c r="J95" s="25"/>
      <c r="K95" s="26"/>
      <c r="L95" s="26"/>
      <c r="M95" s="26"/>
      <c r="N95" s="26"/>
      <c r="O95" s="26"/>
    </row>
    <row r="96" spans="1:15" x14ac:dyDescent="0.25">
      <c r="A96" s="22"/>
      <c r="B96" s="23"/>
      <c r="C96" s="23"/>
      <c r="D96" s="24"/>
      <c r="E96" s="23"/>
      <c r="F96" s="25"/>
      <c r="G96" s="25"/>
      <c r="H96" s="25"/>
      <c r="I96" s="25"/>
      <c r="J96" s="25"/>
      <c r="K96" s="26"/>
      <c r="L96" s="26"/>
      <c r="M96" s="26"/>
      <c r="N96" s="26"/>
      <c r="O96" s="26"/>
    </row>
    <row r="97" spans="1:15" x14ac:dyDescent="0.25">
      <c r="A97" s="22"/>
      <c r="B97" s="23"/>
      <c r="C97" s="23"/>
      <c r="D97" s="24"/>
      <c r="E97" s="23"/>
      <c r="F97" s="25"/>
      <c r="G97" s="25"/>
      <c r="H97" s="25"/>
      <c r="I97" s="25"/>
      <c r="J97" s="25"/>
      <c r="K97" s="26"/>
      <c r="L97" s="26"/>
      <c r="M97" s="26"/>
      <c r="N97" s="26"/>
      <c r="O97" s="26"/>
    </row>
    <row r="98" spans="1:15" x14ac:dyDescent="0.25">
      <c r="A98" s="22"/>
      <c r="B98" s="23"/>
      <c r="C98" s="23"/>
      <c r="D98" s="24"/>
      <c r="E98" s="23"/>
      <c r="F98" s="25"/>
      <c r="G98" s="25"/>
      <c r="H98" s="25"/>
      <c r="I98" s="25"/>
      <c r="J98" s="25"/>
      <c r="K98" s="26"/>
      <c r="L98" s="26"/>
      <c r="M98" s="26"/>
      <c r="N98" s="26"/>
      <c r="O98" s="26"/>
    </row>
    <row r="99" spans="1:15" x14ac:dyDescent="0.25">
      <c r="A99" s="22"/>
      <c r="B99" s="23"/>
      <c r="C99" s="23"/>
      <c r="D99" s="24"/>
      <c r="E99" s="23"/>
      <c r="F99" s="25"/>
      <c r="G99" s="25"/>
      <c r="H99" s="25"/>
      <c r="I99" s="25"/>
      <c r="J99" s="25"/>
      <c r="K99" s="26"/>
      <c r="L99" s="26"/>
      <c r="M99" s="26"/>
      <c r="N99" s="26"/>
      <c r="O99" s="26"/>
    </row>
    <row r="100" spans="1:15" x14ac:dyDescent="0.25">
      <c r="A100" s="22"/>
      <c r="B100" s="23"/>
      <c r="C100" s="23"/>
      <c r="D100" s="24"/>
      <c r="E100" s="23"/>
      <c r="F100" s="25"/>
      <c r="G100" s="25"/>
      <c r="H100" s="25"/>
      <c r="I100" s="25"/>
      <c r="J100" s="25"/>
      <c r="K100" s="26"/>
      <c r="L100" s="26"/>
      <c r="M100" s="26"/>
      <c r="N100" s="26"/>
      <c r="O100" s="26"/>
    </row>
  </sheetData>
  <autoFilter ref="A1:O10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I7" sqref="I7"/>
    </sheetView>
  </sheetViews>
  <sheetFormatPr defaultRowHeight="15" x14ac:dyDescent="0.25"/>
  <cols>
    <col min="1" max="1" width="43.42578125" bestFit="1" customWidth="1"/>
    <col min="2" max="2" width="15.140625" bestFit="1" customWidth="1"/>
    <col min="3" max="3" width="20.28515625" bestFit="1" customWidth="1"/>
    <col min="7" max="7" width="10" bestFit="1" customWidth="1"/>
  </cols>
  <sheetData>
    <row r="1" spans="1:7" x14ac:dyDescent="0.25">
      <c r="A1" s="37" t="s">
        <v>77</v>
      </c>
      <c r="B1" s="37" t="s">
        <v>78</v>
      </c>
      <c r="C1" s="37" t="s">
        <v>79</v>
      </c>
      <c r="D1" s="37" t="s">
        <v>80</v>
      </c>
      <c r="E1" s="37" t="s">
        <v>81</v>
      </c>
      <c r="F1" s="37" t="s">
        <v>82</v>
      </c>
      <c r="G1" s="37" t="s">
        <v>83</v>
      </c>
    </row>
    <row r="2" spans="1:7" x14ac:dyDescent="0.25">
      <c r="A2" s="56" t="s">
        <v>91</v>
      </c>
      <c r="B2" s="38">
        <v>41760</v>
      </c>
      <c r="C2" s="38">
        <v>41760</v>
      </c>
      <c r="D2" s="39" t="s">
        <v>84</v>
      </c>
      <c r="E2" s="40">
        <v>1.5699999999999999E-2</v>
      </c>
      <c r="F2">
        <v>2014</v>
      </c>
      <c r="G2" t="s">
        <v>38</v>
      </c>
    </row>
    <row r="3" spans="1:7" x14ac:dyDescent="0.25">
      <c r="A3" t="s">
        <v>91</v>
      </c>
      <c r="B3" s="38">
        <v>41760</v>
      </c>
      <c r="C3" s="38">
        <v>41760</v>
      </c>
      <c r="D3" s="39" t="s">
        <v>85</v>
      </c>
      <c r="E3" s="40">
        <v>1.5299999999999999E-2</v>
      </c>
      <c r="F3">
        <v>2014</v>
      </c>
      <c r="G3" t="s">
        <v>35</v>
      </c>
    </row>
    <row r="4" spans="1:7" x14ac:dyDescent="0.25">
      <c r="A4" t="s">
        <v>91</v>
      </c>
      <c r="B4" s="38">
        <v>41760</v>
      </c>
      <c r="C4" s="38">
        <v>41760</v>
      </c>
      <c r="D4" s="39" t="s">
        <v>86</v>
      </c>
      <c r="E4" s="40">
        <v>0.88460000000000005</v>
      </c>
      <c r="F4">
        <v>2014</v>
      </c>
      <c r="G4" t="s">
        <v>41</v>
      </c>
    </row>
    <row r="5" spans="1:7" x14ac:dyDescent="0.25">
      <c r="A5" t="s">
        <v>91</v>
      </c>
      <c r="B5" s="38">
        <v>41760</v>
      </c>
      <c r="C5" s="38">
        <v>41760</v>
      </c>
      <c r="D5" s="39" t="s">
        <v>97</v>
      </c>
      <c r="E5" s="40">
        <v>7.7172000000000001</v>
      </c>
      <c r="F5">
        <v>2014</v>
      </c>
      <c r="G5" t="s">
        <v>98</v>
      </c>
    </row>
    <row r="6" spans="1:7" x14ac:dyDescent="0.25">
      <c r="A6" s="57" t="s">
        <v>91</v>
      </c>
      <c r="B6" s="41">
        <v>41426</v>
      </c>
      <c r="C6" s="41">
        <v>41426</v>
      </c>
      <c r="D6" s="42" t="s">
        <v>84</v>
      </c>
      <c r="E6" s="43">
        <v>1.54E-2</v>
      </c>
      <c r="F6">
        <v>2013</v>
      </c>
      <c r="G6" t="s">
        <v>38</v>
      </c>
    </row>
    <row r="7" spans="1:7" x14ac:dyDescent="0.25">
      <c r="A7" s="57" t="s">
        <v>91</v>
      </c>
      <c r="B7" s="41">
        <v>41426</v>
      </c>
      <c r="C7" s="41">
        <v>41426</v>
      </c>
      <c r="D7" s="42" t="s">
        <v>85</v>
      </c>
      <c r="E7" s="43">
        <v>1.4999999999999999E-2</v>
      </c>
      <c r="F7">
        <v>2013</v>
      </c>
      <c r="G7" t="s">
        <v>35</v>
      </c>
    </row>
    <row r="8" spans="1:7" x14ac:dyDescent="0.25">
      <c r="A8" s="57" t="s">
        <v>91</v>
      </c>
      <c r="B8" s="41">
        <v>41426</v>
      </c>
      <c r="C8" s="41">
        <v>41426</v>
      </c>
      <c r="D8" s="42" t="s">
        <v>86</v>
      </c>
      <c r="E8" s="43">
        <v>0.86980000000000002</v>
      </c>
      <c r="F8">
        <v>2013</v>
      </c>
      <c r="G8" t="s">
        <v>41</v>
      </c>
    </row>
    <row r="9" spans="1:7" x14ac:dyDescent="0.25">
      <c r="A9" s="57" t="s">
        <v>91</v>
      </c>
      <c r="B9" s="41">
        <v>41426</v>
      </c>
      <c r="C9" s="41">
        <v>41426</v>
      </c>
      <c r="D9" s="42" t="s">
        <v>97</v>
      </c>
      <c r="E9" s="43">
        <v>7.5881999999999996</v>
      </c>
      <c r="F9">
        <v>2013</v>
      </c>
      <c r="G9" t="s">
        <v>98</v>
      </c>
    </row>
    <row r="10" spans="1:7" x14ac:dyDescent="0.25">
      <c r="A10" s="44" t="s">
        <v>91</v>
      </c>
      <c r="B10" s="45">
        <v>41306</v>
      </c>
      <c r="C10" s="45">
        <v>41306</v>
      </c>
      <c r="D10" s="44" t="s">
        <v>84</v>
      </c>
      <c r="E10" s="46">
        <v>1.35E-2</v>
      </c>
      <c r="F10">
        <v>2012</v>
      </c>
      <c r="G10" t="s">
        <v>38</v>
      </c>
    </row>
    <row r="11" spans="1:7" x14ac:dyDescent="0.25">
      <c r="A11" s="44" t="s">
        <v>91</v>
      </c>
      <c r="B11" s="45">
        <v>41306</v>
      </c>
      <c r="C11" s="45">
        <v>41306</v>
      </c>
      <c r="D11" s="44" t="s">
        <v>85</v>
      </c>
      <c r="E11" s="46">
        <v>1.34E-2</v>
      </c>
      <c r="F11">
        <v>2012</v>
      </c>
      <c r="G11" t="s">
        <v>35</v>
      </c>
    </row>
    <row r="12" spans="1:7" x14ac:dyDescent="0.25">
      <c r="A12" s="44" t="s">
        <v>91</v>
      </c>
      <c r="B12" s="45">
        <v>41306</v>
      </c>
      <c r="C12" s="45">
        <v>41306</v>
      </c>
      <c r="D12" s="44" t="s">
        <v>86</v>
      </c>
      <c r="E12" s="46">
        <v>0.68799999999999994</v>
      </c>
      <c r="F12">
        <v>2012</v>
      </c>
      <c r="G12" t="s">
        <v>41</v>
      </c>
    </row>
    <row r="13" spans="1:7" x14ac:dyDescent="0.25">
      <c r="A13" s="44" t="s">
        <v>91</v>
      </c>
      <c r="B13" s="45">
        <v>41306</v>
      </c>
      <c r="C13" s="45">
        <v>41306</v>
      </c>
      <c r="D13" s="44" t="s">
        <v>97</v>
      </c>
      <c r="E13" s="46">
        <v>6.2107999999999999</v>
      </c>
      <c r="F13">
        <v>2012</v>
      </c>
      <c r="G13" t="s">
        <v>98</v>
      </c>
    </row>
    <row r="14" spans="1:7" x14ac:dyDescent="0.25">
      <c r="A14" t="s">
        <v>91</v>
      </c>
      <c r="B14" s="45">
        <v>40664</v>
      </c>
      <c r="C14" s="45">
        <v>40664</v>
      </c>
      <c r="D14" s="39" t="s">
        <v>84</v>
      </c>
      <c r="E14" s="58">
        <v>1.34E-2</v>
      </c>
      <c r="F14">
        <v>2011</v>
      </c>
      <c r="G14" t="s">
        <v>38</v>
      </c>
    </row>
    <row r="15" spans="1:7" x14ac:dyDescent="0.25">
      <c r="A15" s="57" t="s">
        <v>91</v>
      </c>
      <c r="B15" s="45">
        <v>40299</v>
      </c>
      <c r="C15" s="45">
        <v>40299</v>
      </c>
      <c r="D15" s="42" t="s">
        <v>84</v>
      </c>
      <c r="E15" s="59">
        <v>1.3299999999999999E-2</v>
      </c>
      <c r="F15">
        <v>2010</v>
      </c>
      <c r="G15" t="s">
        <v>38</v>
      </c>
    </row>
    <row r="16" spans="1:7" x14ac:dyDescent="0.25">
      <c r="A16" t="s">
        <v>91</v>
      </c>
      <c r="B16" s="45">
        <v>40664</v>
      </c>
      <c r="C16" s="45">
        <v>40664</v>
      </c>
      <c r="D16" s="39" t="s">
        <v>85</v>
      </c>
      <c r="E16" s="58">
        <v>1.3299999999999999E-2</v>
      </c>
      <c r="F16">
        <v>2011</v>
      </c>
      <c r="G16" t="s">
        <v>35</v>
      </c>
    </row>
    <row r="17" spans="1:7" x14ac:dyDescent="0.25">
      <c r="A17" t="s">
        <v>91</v>
      </c>
      <c r="B17" s="45">
        <v>40664</v>
      </c>
      <c r="C17" s="45">
        <v>40664</v>
      </c>
      <c r="D17" s="39" t="s">
        <v>86</v>
      </c>
      <c r="E17" s="58">
        <v>0.68059999999999998</v>
      </c>
      <c r="F17">
        <v>2011</v>
      </c>
      <c r="G17" t="s">
        <v>41</v>
      </c>
    </row>
    <row r="18" spans="1:7" x14ac:dyDescent="0.25">
      <c r="A18" s="60" t="s">
        <v>91</v>
      </c>
      <c r="B18" s="45">
        <v>40299</v>
      </c>
      <c r="C18" s="45">
        <v>40299</v>
      </c>
      <c r="D18" s="47" t="s">
        <v>85</v>
      </c>
      <c r="E18" s="61">
        <v>1.32E-2</v>
      </c>
      <c r="F18">
        <v>2010</v>
      </c>
      <c r="G18" t="s">
        <v>35</v>
      </c>
    </row>
    <row r="19" spans="1:7" x14ac:dyDescent="0.25">
      <c r="A19" s="60" t="s">
        <v>91</v>
      </c>
      <c r="B19" s="45">
        <v>40299</v>
      </c>
      <c r="C19" s="45">
        <v>40299</v>
      </c>
      <c r="D19" s="47" t="s">
        <v>86</v>
      </c>
      <c r="E19" s="61">
        <v>0.67800000000000005</v>
      </c>
      <c r="F19">
        <v>2010</v>
      </c>
      <c r="G19" t="s">
        <v>41</v>
      </c>
    </row>
    <row r="20" spans="1:7" ht="30" x14ac:dyDescent="0.25">
      <c r="A20" t="s">
        <v>91</v>
      </c>
      <c r="B20" s="45">
        <v>42125</v>
      </c>
      <c r="C20" s="45">
        <v>42125</v>
      </c>
      <c r="D20" s="62" t="s">
        <v>84</v>
      </c>
      <c r="E20" s="63">
        <v>1.6E-2</v>
      </c>
      <c r="F20">
        <v>2015</v>
      </c>
      <c r="G20" t="s">
        <v>38</v>
      </c>
    </row>
    <row r="21" spans="1:7" ht="75" x14ac:dyDescent="0.25">
      <c r="A21" s="56" t="s">
        <v>91</v>
      </c>
      <c r="B21" s="45">
        <v>42125</v>
      </c>
      <c r="C21" s="45">
        <v>42125</v>
      </c>
      <c r="D21" s="62" t="s">
        <v>85</v>
      </c>
      <c r="E21" s="63">
        <v>1.55E-2</v>
      </c>
      <c r="F21">
        <v>2015</v>
      </c>
      <c r="G21" t="s">
        <v>35</v>
      </c>
    </row>
    <row r="22" spans="1:7" ht="60" x14ac:dyDescent="0.25">
      <c r="A22" s="56" t="s">
        <v>91</v>
      </c>
      <c r="B22" s="45">
        <v>42125</v>
      </c>
      <c r="C22" s="45">
        <v>42125</v>
      </c>
      <c r="D22" s="62" t="s">
        <v>86</v>
      </c>
      <c r="E22" s="63">
        <v>0.89880000000000004</v>
      </c>
      <c r="F22">
        <v>2015</v>
      </c>
      <c r="G22" t="s">
        <v>41</v>
      </c>
    </row>
    <row r="23" spans="1:7" x14ac:dyDescent="0.25">
      <c r="A23" t="s">
        <v>91</v>
      </c>
      <c r="B23" s="45">
        <v>42125</v>
      </c>
      <c r="C23" s="45">
        <v>42125</v>
      </c>
      <c r="D23" s="39" t="s">
        <v>97</v>
      </c>
      <c r="E23">
        <v>7.8407</v>
      </c>
      <c r="F23">
        <v>2015</v>
      </c>
      <c r="G23" t="s">
        <v>98</v>
      </c>
    </row>
    <row r="24" spans="1:7" x14ac:dyDescent="0.25">
      <c r="A24" t="s">
        <v>91</v>
      </c>
      <c r="B24" s="45">
        <v>41760</v>
      </c>
      <c r="C24" s="45">
        <v>41760</v>
      </c>
      <c r="D24" s="39" t="s">
        <v>97</v>
      </c>
      <c r="E24">
        <v>7.7172000000000001</v>
      </c>
      <c r="F24">
        <v>2014</v>
      </c>
      <c r="G24" t="s">
        <v>98</v>
      </c>
    </row>
    <row r="25" spans="1:7" x14ac:dyDescent="0.25">
      <c r="A25" s="44"/>
      <c r="B25" s="45"/>
      <c r="C25" s="45"/>
      <c r="D25" s="44"/>
      <c r="E25" s="46"/>
      <c r="F25" s="39"/>
      <c r="G25" s="39"/>
    </row>
    <row r="26" spans="1:7" x14ac:dyDescent="0.25">
      <c r="A26" s="44"/>
      <c r="B26" s="45"/>
      <c r="C26" s="45"/>
      <c r="D26" s="44"/>
      <c r="E26" s="46"/>
      <c r="F26" s="39"/>
      <c r="G26" s="39"/>
    </row>
    <row r="27" spans="1:7" x14ac:dyDescent="0.25">
      <c r="A27" s="44"/>
      <c r="B27" s="45"/>
      <c r="C27" s="45"/>
      <c r="D27" s="44"/>
      <c r="E27" s="46"/>
      <c r="F27" s="39"/>
      <c r="G27" s="39"/>
    </row>
    <row r="28" spans="1:7" x14ac:dyDescent="0.25">
      <c r="A28" s="44"/>
      <c r="B28" s="45"/>
      <c r="C28" s="45"/>
      <c r="D28" s="44"/>
      <c r="E28" s="46"/>
      <c r="F28" s="39"/>
      <c r="G28" s="39"/>
    </row>
    <row r="29" spans="1:7" x14ac:dyDescent="0.25">
      <c r="A29" s="42"/>
      <c r="B29" s="41"/>
      <c r="C29" s="41"/>
      <c r="D29" s="42"/>
      <c r="E29" s="43"/>
      <c r="F29" s="39"/>
      <c r="G29" s="39"/>
    </row>
    <row r="30" spans="1:7" x14ac:dyDescent="0.25">
      <c r="A30" s="42"/>
      <c r="B30" s="41"/>
      <c r="C30" s="41"/>
      <c r="D30" s="42"/>
      <c r="E30" s="43"/>
      <c r="F30" s="39"/>
      <c r="G30" s="39"/>
    </row>
    <row r="31" spans="1:7" x14ac:dyDescent="0.25">
      <c r="A31" s="42"/>
      <c r="B31" s="41"/>
      <c r="C31" s="41"/>
      <c r="D31" s="42"/>
      <c r="E31" s="43"/>
      <c r="F31" s="39"/>
      <c r="G31" s="39"/>
    </row>
    <row r="32" spans="1:7" x14ac:dyDescent="0.25">
      <c r="A32" s="42"/>
      <c r="B32" s="41"/>
      <c r="C32" s="41"/>
      <c r="D32" s="42"/>
      <c r="E32" s="43"/>
      <c r="F32" s="39"/>
      <c r="G32" s="39"/>
    </row>
    <row r="33" spans="1:7" x14ac:dyDescent="0.25">
      <c r="A33" s="42"/>
      <c r="B33" s="41"/>
      <c r="C33" s="41"/>
      <c r="D33" s="42"/>
      <c r="E33" s="43"/>
      <c r="F33" s="39"/>
      <c r="G33" s="39"/>
    </row>
    <row r="34" spans="1:7" x14ac:dyDescent="0.25">
      <c r="A34" s="42"/>
      <c r="B34" s="41"/>
      <c r="C34" s="41"/>
      <c r="D34" s="42"/>
      <c r="E34" s="43"/>
      <c r="F34" s="39"/>
      <c r="G34" s="39"/>
    </row>
    <row r="35" spans="1:7" x14ac:dyDescent="0.25">
      <c r="A35" s="42"/>
      <c r="B35" s="41"/>
      <c r="C35" s="41"/>
      <c r="D35" s="42"/>
      <c r="E35" s="43"/>
      <c r="F35" s="39"/>
      <c r="G35" s="39"/>
    </row>
    <row r="36" spans="1:7" x14ac:dyDescent="0.25">
      <c r="A36" s="42"/>
      <c r="B36" s="41"/>
      <c r="C36" s="41"/>
      <c r="D36" s="42"/>
      <c r="E36" s="43"/>
      <c r="F36" s="39"/>
      <c r="G36" s="39"/>
    </row>
    <row r="37" spans="1:7" x14ac:dyDescent="0.25">
      <c r="A37" s="42"/>
      <c r="B37" s="41"/>
      <c r="C37" s="41"/>
      <c r="D37" s="42"/>
      <c r="E37" s="43"/>
      <c r="F37" s="39"/>
      <c r="G37" s="39"/>
    </row>
    <row r="38" spans="1:7" x14ac:dyDescent="0.25">
      <c r="A38" s="39"/>
      <c r="B38" s="38"/>
      <c r="C38" s="38"/>
      <c r="D38" s="39"/>
      <c r="E38" s="40"/>
      <c r="F38" s="39"/>
      <c r="G38" s="39"/>
    </row>
    <row r="39" spans="1:7" x14ac:dyDescent="0.25">
      <c r="A39" s="39"/>
      <c r="B39" s="38"/>
      <c r="C39" s="38"/>
      <c r="D39" s="39"/>
      <c r="E39" s="40"/>
      <c r="F39" s="39"/>
      <c r="G39" s="39"/>
    </row>
    <row r="40" spans="1:7" x14ac:dyDescent="0.25">
      <c r="A40" s="39"/>
      <c r="B40" s="38"/>
      <c r="C40" s="38"/>
      <c r="D40" s="39"/>
      <c r="E40" s="40"/>
      <c r="F40" s="39"/>
      <c r="G40" s="39"/>
    </row>
    <row r="41" spans="1:7" x14ac:dyDescent="0.25">
      <c r="A41" s="48"/>
      <c r="B41" s="38"/>
      <c r="C41" s="38"/>
      <c r="D41" s="39"/>
      <c r="E41" s="40"/>
      <c r="F41" s="39"/>
      <c r="G41" s="39"/>
    </row>
    <row r="42" spans="1:7" x14ac:dyDescent="0.25">
      <c r="A42" s="48"/>
      <c r="B42" s="38"/>
      <c r="C42" s="38"/>
      <c r="D42" s="39"/>
      <c r="E42" s="40"/>
      <c r="F42" s="39"/>
      <c r="G42" s="39"/>
    </row>
    <row r="43" spans="1:7" x14ac:dyDescent="0.25">
      <c r="A43" s="48"/>
      <c r="B43" s="38"/>
      <c r="C43" s="38"/>
      <c r="D43" s="39"/>
      <c r="E43" s="40"/>
      <c r="F43" s="39"/>
      <c r="G43" s="39"/>
    </row>
    <row r="44" spans="1:7" x14ac:dyDescent="0.25">
      <c r="A44" s="39"/>
      <c r="B44" s="38"/>
      <c r="C44" s="38"/>
      <c r="D44" s="39"/>
      <c r="E44" s="40"/>
      <c r="F44" s="39"/>
      <c r="G44" s="39"/>
    </row>
    <row r="45" spans="1:7" x14ac:dyDescent="0.25">
      <c r="A45" s="39"/>
      <c r="B45" s="38"/>
      <c r="C45" s="38"/>
      <c r="D45" s="39"/>
      <c r="E45" s="40"/>
      <c r="F45" s="39"/>
      <c r="G45" s="39"/>
    </row>
    <row r="46" spans="1:7" x14ac:dyDescent="0.25">
      <c r="A46" s="39"/>
      <c r="B46" s="38"/>
      <c r="C46" s="38"/>
      <c r="D46" s="39"/>
      <c r="E46" s="40"/>
      <c r="F46" s="39"/>
      <c r="G46" s="39"/>
    </row>
    <row r="47" spans="1:7" x14ac:dyDescent="0.25">
      <c r="A47" s="48"/>
      <c r="B47" s="45"/>
      <c r="C47" s="45"/>
      <c r="D47" s="48"/>
      <c r="E47" s="49"/>
      <c r="F47" s="39"/>
      <c r="G47" s="39"/>
    </row>
    <row r="48" spans="1:7" x14ac:dyDescent="0.25">
      <c r="A48" s="48"/>
      <c r="B48" s="45"/>
      <c r="C48" s="45"/>
      <c r="D48" s="48"/>
      <c r="E48" s="49"/>
      <c r="F48" s="39"/>
      <c r="G48" s="39"/>
    </row>
    <row r="49" spans="1:7" x14ac:dyDescent="0.25">
      <c r="A49" s="48"/>
      <c r="B49" s="45"/>
      <c r="C49" s="45"/>
      <c r="D49" s="48"/>
      <c r="E49" s="49"/>
      <c r="F49" s="39"/>
      <c r="G49" s="39"/>
    </row>
    <row r="50" spans="1:7" x14ac:dyDescent="0.25">
      <c r="A50" s="39"/>
      <c r="B50" s="45"/>
      <c r="C50" s="45"/>
      <c r="D50" s="48"/>
      <c r="E50" s="49"/>
      <c r="F50" s="39"/>
      <c r="G50" s="39"/>
    </row>
    <row r="51" spans="1:7" x14ac:dyDescent="0.25">
      <c r="A51" s="39"/>
      <c r="B51" s="45"/>
      <c r="C51" s="45"/>
      <c r="D51" s="48"/>
      <c r="E51" s="49"/>
      <c r="F51" s="39"/>
      <c r="G51" s="39"/>
    </row>
    <row r="52" spans="1:7" x14ac:dyDescent="0.25">
      <c r="A52" s="39"/>
      <c r="B52" s="45"/>
      <c r="C52" s="45"/>
      <c r="D52" s="48"/>
      <c r="E52" s="49"/>
      <c r="F52" s="39"/>
      <c r="G52" s="39"/>
    </row>
    <row r="53" spans="1:7" x14ac:dyDescent="0.25">
      <c r="A53" s="48"/>
      <c r="B53" s="45"/>
      <c r="C53" s="45"/>
      <c r="D53" s="48"/>
      <c r="E53" s="49"/>
      <c r="F53" s="39"/>
      <c r="G53" s="39"/>
    </row>
    <row r="54" spans="1:7" x14ac:dyDescent="0.25">
      <c r="A54" s="48"/>
      <c r="B54" s="45"/>
      <c r="C54" s="45"/>
      <c r="D54" s="48"/>
      <c r="E54" s="49"/>
      <c r="F54" s="39"/>
      <c r="G54" s="39"/>
    </row>
    <row r="55" spans="1:7" x14ac:dyDescent="0.25">
      <c r="A55" s="48"/>
      <c r="B55" s="45"/>
      <c r="C55" s="45"/>
      <c r="D55" s="48"/>
      <c r="E55" s="49"/>
      <c r="F55" s="39"/>
      <c r="G55" s="39"/>
    </row>
  </sheetData>
  <sortState ref="A2:G55">
    <sortCondition ref="F2:F55"/>
    <sortCondition ref="G2:G55"/>
    <sortCondition ref="A2:A5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D2" sqref="D2"/>
    </sheetView>
  </sheetViews>
  <sheetFormatPr defaultRowHeight="15" x14ac:dyDescent="0.25"/>
  <sheetData>
    <row r="1" spans="1:12" x14ac:dyDescent="0.25">
      <c r="A1" t="s">
        <v>87</v>
      </c>
      <c r="B1">
        <v>2011</v>
      </c>
      <c r="C1">
        <v>2012</v>
      </c>
      <c r="D1">
        <v>2013</v>
      </c>
      <c r="E1">
        <v>2014</v>
      </c>
      <c r="F1">
        <v>2015</v>
      </c>
      <c r="G1">
        <v>2016</v>
      </c>
      <c r="H1">
        <v>2017</v>
      </c>
      <c r="I1">
        <v>2018</v>
      </c>
      <c r="J1">
        <v>2019</v>
      </c>
      <c r="K1">
        <v>2020</v>
      </c>
    </row>
    <row r="2" spans="1:12" x14ac:dyDescent="0.25">
      <c r="A2" t="s">
        <v>46</v>
      </c>
      <c r="B2" s="27">
        <v>0</v>
      </c>
      <c r="C2" s="27">
        <v>0</v>
      </c>
      <c r="D2" s="27">
        <v>0.22289235976506136</v>
      </c>
      <c r="E2" s="27">
        <v>0.80504366902914104</v>
      </c>
      <c r="F2" s="27">
        <v>0</v>
      </c>
      <c r="G2" s="27">
        <v>0</v>
      </c>
      <c r="H2" s="27">
        <v>0</v>
      </c>
      <c r="I2" s="27">
        <v>0</v>
      </c>
      <c r="J2" s="27">
        <v>0</v>
      </c>
      <c r="K2" s="27">
        <v>0</v>
      </c>
      <c r="L2" s="27"/>
    </row>
    <row r="3" spans="1:12" x14ac:dyDescent="0.25">
      <c r="A3" t="s">
        <v>47</v>
      </c>
      <c r="B3" s="27">
        <f t="shared" ref="B3:C3" si="0">1-B2</f>
        <v>1</v>
      </c>
      <c r="C3" s="27">
        <f t="shared" si="0"/>
        <v>1</v>
      </c>
      <c r="D3" s="27">
        <f>1-D2</f>
        <v>0.77710764023493861</v>
      </c>
      <c r="E3" s="27">
        <f t="shared" ref="E3:K3" si="1">1-E2</f>
        <v>0.19495633097085896</v>
      </c>
      <c r="F3" s="27">
        <f t="shared" si="1"/>
        <v>1</v>
      </c>
      <c r="G3" s="27">
        <f t="shared" si="1"/>
        <v>1</v>
      </c>
      <c r="H3" s="27">
        <f t="shared" si="1"/>
        <v>1</v>
      </c>
      <c r="I3" s="27">
        <f t="shared" si="1"/>
        <v>1</v>
      </c>
      <c r="J3" s="27">
        <f t="shared" si="1"/>
        <v>1</v>
      </c>
      <c r="K3" s="27">
        <f t="shared" si="1"/>
        <v>1</v>
      </c>
    </row>
    <row r="5" spans="1:12" x14ac:dyDescent="0.25">
      <c r="A5" t="s">
        <v>48</v>
      </c>
      <c r="B5">
        <v>2011</v>
      </c>
      <c r="C5">
        <v>2012</v>
      </c>
      <c r="D5">
        <v>2013</v>
      </c>
      <c r="E5">
        <v>2014</v>
      </c>
      <c r="F5">
        <v>2015</v>
      </c>
      <c r="G5">
        <v>2016</v>
      </c>
      <c r="H5">
        <v>2017</v>
      </c>
      <c r="I5">
        <v>2018</v>
      </c>
      <c r="J5">
        <v>2019</v>
      </c>
      <c r="K5">
        <v>2020</v>
      </c>
    </row>
    <row r="6" spans="1:12" x14ac:dyDescent="0.25">
      <c r="A6" t="s">
        <v>46</v>
      </c>
      <c r="B6" s="27">
        <v>0</v>
      </c>
      <c r="C6" s="27">
        <v>0</v>
      </c>
      <c r="D6" s="27">
        <v>0.22615701209424258</v>
      </c>
      <c r="E6" s="27">
        <v>6.873902085083633E-2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</row>
    <row r="7" spans="1:12" x14ac:dyDescent="0.25">
      <c r="A7" t="s">
        <v>47</v>
      </c>
      <c r="B7" s="27">
        <f t="shared" ref="B7:K7" si="2">1-B6</f>
        <v>1</v>
      </c>
      <c r="C7" s="27">
        <f t="shared" si="2"/>
        <v>1</v>
      </c>
      <c r="D7" s="27">
        <f t="shared" si="2"/>
        <v>0.77384298790575745</v>
      </c>
      <c r="E7" s="27">
        <f t="shared" si="2"/>
        <v>0.93126097914916373</v>
      </c>
      <c r="F7" s="27">
        <f t="shared" si="2"/>
        <v>1</v>
      </c>
      <c r="G7" s="27">
        <f t="shared" si="2"/>
        <v>1</v>
      </c>
      <c r="H7" s="27">
        <f t="shared" si="2"/>
        <v>1</v>
      </c>
      <c r="I7" s="27">
        <f t="shared" si="2"/>
        <v>1</v>
      </c>
      <c r="J7" s="27">
        <f t="shared" si="2"/>
        <v>1</v>
      </c>
      <c r="K7" s="27">
        <f t="shared" si="2"/>
        <v>1</v>
      </c>
    </row>
    <row r="10" spans="1:12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2012 old</vt:lpstr>
      <vt:lpstr>2013 old</vt:lpstr>
      <vt:lpstr>2012</vt:lpstr>
      <vt:lpstr>2013</vt:lpstr>
      <vt:lpstr>2014</vt:lpstr>
      <vt:lpstr>Summary</vt:lpstr>
      <vt:lpstr>Persistance</vt:lpstr>
      <vt:lpstr>Rates</vt:lpstr>
      <vt:lpstr>Retrofit Split</vt:lpstr>
      <vt:lpstr>PD_Class</vt:lpstr>
      <vt:lpstr>PD_Initiative</vt:lpstr>
      <vt:lpstr>PD_kW</vt:lpstr>
      <vt:lpstr>PD_kWh</vt:lpstr>
      <vt:lpstr>PD_LDC</vt:lpstr>
      <vt:lpstr>PD_Year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Soules</dc:creator>
  <cp:lastModifiedBy>Jarrett Urech</cp:lastModifiedBy>
  <dcterms:created xsi:type="dcterms:W3CDTF">2016-09-21T16:44:56Z</dcterms:created>
  <dcterms:modified xsi:type="dcterms:W3CDTF">2017-01-26T22:27:03Z</dcterms:modified>
</cp:coreProperties>
</file>