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daveh\OneDrive\PEG16\OPG\"/>
    </mc:Choice>
  </mc:AlternateContent>
  <bookViews>
    <workbookView xWindow="0" yWindow="0" windowWidth="20490" windowHeight="6930" tabRatio="903"/>
  </bookViews>
  <sheets>
    <sheet name="Table 6 1HS" sheetId="74" r:id="rId1"/>
    <sheet name="OPG TFP 1HS" sheetId="73" r:id="rId2"/>
    <sheet name="end of tables" sheetId="55" r:id="rId3"/>
    <sheet name="Table 1" sheetId="65" r:id="rId4"/>
    <sheet name="LEI Variations" sheetId="41" r:id="rId5"/>
    <sheet name="OPG TFP" sheetId="60" r:id="rId6"/>
    <sheet name="Benchmark Year Price" sheetId="61" r:id="rId7"/>
    <sheet name="Depreciation Rate" sheetId="57" r:id="rId8"/>
    <sheet name="Age Profile" sheetId="39" r:id="rId9"/>
    <sheet name="Reconcile MWH" sheetId="59" r:id="rId10"/>
    <sheet name="Yearbook links" sheetId="36" r:id="rId11"/>
    <sheet name="gdpipi fdd" sheetId="72" r:id="rId12"/>
    <sheet name="GDP IPD Canada" sheetId="63" r:id="rId13"/>
    <sheet name="TFP_Calcs" sheetId="12" r:id="rId14"/>
    <sheet name="TFP_dataset" sheetId="2" r:id="rId15"/>
    <sheet name="End PEG work and modifications" sheetId="64" r:id="rId16"/>
    <sheet name="Cover sheet" sheetId="28" r:id="rId17"/>
    <sheet name="READ_ME" sheetId="30" r:id="rId18"/>
    <sheet name="graphs" sheetId="22" state="hidden" r:id="rId19"/>
    <sheet name="OPG hydro peers" sheetId="5" r:id="rId20"/>
    <sheet name="NA comb O&amp;M price indexes" sheetId="26" r:id="rId21"/>
    <sheet name="Can O&amp;M price indexes" sheetId="3" r:id="rId22"/>
    <sheet name="US O&amp;M price indexes" sheetId="24" r:id="rId23"/>
    <sheet name="EUCG L share" sheetId="23" r:id="rId24"/>
    <sheet name="StatsCan CANSIM tables" sheetId="4" r:id="rId25"/>
    <sheet name="US BLS &amp; BEA tables" sheetId="25" r:id="rId26"/>
  </sheets>
  <externalReferences>
    <externalReference r:id="rId27"/>
    <externalReference r:id="rId28"/>
    <externalReference r:id="rId29"/>
    <externalReference r:id="rId30"/>
    <externalReference r:id="rId31"/>
    <externalReference r:id="rId32"/>
    <externalReference r:id="rId33"/>
  </externalReferences>
  <definedNames>
    <definedName name="__d2" localSheetId="6">#REF!</definedName>
    <definedName name="__d2" localSheetId="7">#REF!</definedName>
    <definedName name="__d2" localSheetId="5">#REF!</definedName>
    <definedName name="__d2" localSheetId="1">#REF!</definedName>
    <definedName name="__d2" localSheetId="3">#REF!</definedName>
    <definedName name="__d2" localSheetId="0">#REF!</definedName>
    <definedName name="__d2">#REF!</definedName>
    <definedName name="_d2" localSheetId="6">#REF!</definedName>
    <definedName name="_d2" localSheetId="7">#REF!</definedName>
    <definedName name="_d2" localSheetId="5">#REF!</definedName>
    <definedName name="_d2" localSheetId="1">#REF!</definedName>
    <definedName name="_d2" localSheetId="3">#REF!</definedName>
    <definedName name="_d2" localSheetId="0">#REF!</definedName>
    <definedName name="_d2">#REF!</definedName>
    <definedName name="_xlnm._FilterDatabase" localSheetId="13" hidden="1">TFP_Calcs!$B$5:$J$17</definedName>
    <definedName name="_xlnm._FilterDatabase" localSheetId="14" hidden="1">TFP_dataset!$B$5:$BQ$239</definedName>
    <definedName name="_Parse_Out" localSheetId="6" hidden="1">#REF!</definedName>
    <definedName name="_Parse_Out" localSheetId="7" hidden="1">#REF!</definedName>
    <definedName name="_Parse_Out" localSheetId="5" hidden="1">#REF!</definedName>
    <definedName name="_Parse_Out" localSheetId="1" hidden="1">#REF!</definedName>
    <definedName name="_Parse_Out" localSheetId="3" hidden="1">#REF!</definedName>
    <definedName name="_Parse_Out" localSheetId="0" hidden="1">#REF!</definedName>
    <definedName name="_Parse_Out" hidden="1">#REF!</definedName>
    <definedName name="A" localSheetId="6">[1]Sheet1!#REF!</definedName>
    <definedName name="A" localSheetId="7">[1]Sheet1!#REF!</definedName>
    <definedName name="A" localSheetId="5">[1]Sheet1!#REF!</definedName>
    <definedName name="A" localSheetId="1">[1]Sheet1!#REF!</definedName>
    <definedName name="A" localSheetId="3">[1]Sheet1!#REF!</definedName>
    <definedName name="A" localSheetId="0">[1]Sheet1!#REF!</definedName>
    <definedName name="A">[1]Sheet1!#REF!</definedName>
    <definedName name="A2159244F">'[2]WCI EGS'!$R$1:$R$10,'[2]WCI EGS'!$R$11:$R$47</definedName>
    <definedName name="A2159253J">'[2]WCI EGS'!$X$1:$X$10,'[2]WCI EGS'!$X$11:$X$47</definedName>
    <definedName name="A2159262K">'[2]WCI EGS'!$AO$1:$AO$10,'[2]WCI EGS'!$AO$11:$AO$47</definedName>
    <definedName name="A2159263L">'[2]WCI EGS'!$B$1:$B$10,'[2]WCI EGS'!$B$11:$B$47</definedName>
    <definedName name="A2159264R">'[2]WCI EGS'!$C$1:$C$10,'[2]WCI EGS'!$C$11:$C$47</definedName>
    <definedName name="A2159265T">'[2]WCI EGS'!$D$1:$D$10,'[2]WCI EGS'!$D$11:$D$47</definedName>
    <definedName name="A2159266V">'[2]WCI EGS'!$F$1:$F$10,'[2]WCI EGS'!$F$11:$F$47</definedName>
    <definedName name="A2159267W">'[2]WCI EGS'!$G$1:$G$10,'[2]WCI EGS'!$G$11:$G$47</definedName>
    <definedName name="A2159268X">'[2]WCI EGS'!$H$1:$H$10,'[2]WCI EGS'!$H$11:$H$47</definedName>
    <definedName name="A2159269A">'[2]WCI EGS'!$I$1:$I$10,'[2]WCI EGS'!$I$11:$I$47</definedName>
    <definedName name="A2159270K">'[2]WCI EGS'!$J$1:$J$10,'[2]WCI EGS'!$J$11:$J$47</definedName>
    <definedName name="A2159271L">'[2]WCI EGS'!$K$1:$K$10,'[2]WCI EGS'!$K$11:$K$47</definedName>
    <definedName name="A2159272R">'[2]WCI EGS'!$L$1:$L$10,'[2]WCI EGS'!$L$11:$L$47</definedName>
    <definedName name="A2159273T">'[2]WCI EGS'!$M$1:$M$10,'[2]WCI EGS'!$M$11:$M$47</definedName>
    <definedName name="A2159274V">'[2]WCI EGS'!$N$1:$N$10,'[2]WCI EGS'!$N$11:$N$47</definedName>
    <definedName name="A2159275W">'[2]WCI EGS'!$O$1:$O$10,'[2]WCI EGS'!$O$11:$O$47</definedName>
    <definedName name="A2159276X">'[2]WCI EGS'!$P$1:$P$10,'[2]WCI EGS'!$P$11:$P$47</definedName>
    <definedName name="A2159277A">'[2]WCI EGS'!$Q$1:$Q$10,'[2]WCI EGS'!$Q$11:$Q$47</definedName>
    <definedName name="A2159278C">'[2]WCI EGS'!$S$1:$S$10,'[2]WCI EGS'!$S$11:$S$47</definedName>
    <definedName name="A2159279F">'[2]WCI EGS'!$T$1:$T$10,'[2]WCI EGS'!$T$11:$T$47</definedName>
    <definedName name="A2159280R">'[2]WCI EGS'!$U$1:$U$10,'[2]WCI EGS'!$U$11:$U$47</definedName>
    <definedName name="A2159281T">'[2]WCI EGS'!$V$1:$V$10,'[2]WCI EGS'!$V$11:$V$47</definedName>
    <definedName name="A2159282V">'[2]WCI EGS'!$W$1:$W$10,'[2]WCI EGS'!$W$11:$W$47</definedName>
    <definedName name="A2159283W">'[2]WCI EGS'!$Y$1:$Y$10,'[2]WCI EGS'!$Y$11:$Y$47</definedName>
    <definedName name="A2159284X">'[2]WCI EGS'!$Z$1:$Z$10,'[2]WCI EGS'!$Z$11:$Z$47</definedName>
    <definedName name="A2159285A">'[2]WCI EGS'!$AA$1:$AA$10,'[2]WCI EGS'!$AA$11:$AA$47</definedName>
    <definedName name="A2159286C">'[2]WCI EGS'!$AB$1:$AB$10,'[2]WCI EGS'!$AB$11:$AB$47</definedName>
    <definedName name="A2159287F">'[2]WCI EGS'!$AC$1:$AC$10,'[2]WCI EGS'!$AC$11:$AC$47</definedName>
    <definedName name="A2159288J">'[2]WCI EGS'!$AD$1:$AD$10,'[2]WCI EGS'!$AD$11:$AD$47</definedName>
    <definedName name="A2159289K">'[2]WCI EGS'!$AE$1:$AE$10,'[2]WCI EGS'!$AE$11:$AE$47</definedName>
    <definedName name="A2159290V">'[2]WCI EGS'!$AF$1:$AF$10,'[2]WCI EGS'!$AF$11:$AF$47</definedName>
    <definedName name="A2159291W">'[2]WCI EGS'!$AG$1:$AG$10,'[2]WCI EGS'!$AG$11:$AG$47</definedName>
    <definedName name="A2159292X">'[2]WCI EGS'!$AH$1:$AH$10,'[2]WCI EGS'!$AH$11:$AH$47</definedName>
    <definedName name="A2159293A">'[2]WCI EGS'!$AI$1:$AI$10,'[2]WCI EGS'!$AI$11:$AI$47</definedName>
    <definedName name="A2159294C">'[2]WCI EGS'!$AJ$1:$AJ$10,'[2]WCI EGS'!$AJ$11:$AJ$47</definedName>
    <definedName name="A2159295F">'[2]WCI EGS'!$AK$1:$AK$10,'[2]WCI EGS'!$AK$11:$AK$47</definedName>
    <definedName name="A2159296J">'[2]WCI EGS'!$AL$1:$AL$10,'[2]WCI EGS'!$AL$11:$AL$47</definedName>
    <definedName name="A2159297K">'[2]WCI EGS'!$AM$1:$AM$10,'[2]WCI EGS'!$AM$11:$AM$47</definedName>
    <definedName name="A2159298L">'[2]WCI EGS'!$AN$1:$AN$10,'[2]WCI EGS'!$AN$11:$AN$47</definedName>
    <definedName name="A2325806K">[2]cpi06!$B$1:$B$10,[2]cpi06!$B$11:$B$243</definedName>
    <definedName name="A2325807L">[2]cpi06!$K$1:$K$10,[2]cpi06!$K$110:$K$243</definedName>
    <definedName name="A2325810A">[2]cpi06!$T$1:$T$10,[2]cpi06!$T$107:$T$243</definedName>
    <definedName name="A2325811C">[2]cpi06!$C$1:$C$10,[2]cpi06!$C$11:$C$243</definedName>
    <definedName name="A2325812F">[2]cpi06!$L$1:$L$10,[2]cpi06!$L$110:$L$243</definedName>
    <definedName name="A2325815L">[2]cpi06!$U$1:$U$10,[2]cpi06!$U$107:$U$243</definedName>
    <definedName name="A2325816R">[2]cpi06!$D$1:$D$10,[2]cpi06!$D$11:$D$243</definedName>
    <definedName name="A2325817T">[2]cpi06!$M$1:$M$10,[2]cpi06!$M$110:$M$243</definedName>
    <definedName name="A2325820F">[2]cpi06!$V$1:$V$10,[2]cpi06!$V$107:$V$243</definedName>
    <definedName name="A2325821J">[2]cpi06!$E$1:$E$10,[2]cpi06!$E$11:$E$243</definedName>
    <definedName name="A2325822K">[2]cpi06!$N$1:$N$10,[2]cpi06!$N$110:$N$243</definedName>
    <definedName name="A2325825T">[2]cpi06!$W$1:$W$10,[2]cpi06!$W$107:$W$243</definedName>
    <definedName name="A2325826V">[2]cpi06!$F$1:$F$10,[2]cpi06!$F$11:$F$243</definedName>
    <definedName name="A2325827W">[2]cpi06!$O$1:$O$10,[2]cpi06!$O$110:$O$243</definedName>
    <definedName name="A2325830K">[2]cpi06!$X$1:$X$10,[2]cpi06!$X$107:$X$243</definedName>
    <definedName name="A2325831L">[2]cpi06!$G$1:$G$10,[2]cpi06!$G$11:$G$243</definedName>
    <definedName name="A2325832R">[2]cpi06!$P$1:$P$10,[2]cpi06!$P$110:$P$243</definedName>
    <definedName name="A2325835W">[2]cpi06!$Y$1:$Y$10,[2]cpi06!$Y$107:$Y$243</definedName>
    <definedName name="A2325836X">[2]cpi06!$H$1:$H$10,[2]cpi06!$H$139:$H$243</definedName>
    <definedName name="A2325837A">[2]cpi06!$Q$1:$Q$10,[2]cpi06!$Q$143:$Q$243</definedName>
    <definedName name="A2325840R">[2]cpi06!$Z$1:$Z$10,[2]cpi06!$Z$140:$Z$243</definedName>
    <definedName name="A2325841T">[2]cpi06!$I$1:$I$10,[2]cpi06!$I$11:$I$243</definedName>
    <definedName name="A2325842V">[2]cpi06!$R$1:$R$10,[2]cpi06!$R$110:$R$243</definedName>
    <definedName name="A2325845A">[2]cpi06!$AA$1:$AA$10,[2]cpi06!$AA$107:$AA$243</definedName>
    <definedName name="A2325846C">[2]cpi06!$J$1:$J$10,[2]cpi06!$J$11:$J$243</definedName>
    <definedName name="A2325847F">[2]cpi06!$S$1:$S$10,[2]cpi06!$S$110:$S$243</definedName>
    <definedName name="A2325850V">[2]cpi06!$AB$1:$AB$10,[2]cpi06!$AB$107:$AB$243</definedName>
    <definedName name="BTP" localSheetId="6">#REF!</definedName>
    <definedName name="BTP" localSheetId="7">#REF!</definedName>
    <definedName name="BTP" localSheetId="5">#REF!</definedName>
    <definedName name="BTP" localSheetId="1">#REF!</definedName>
    <definedName name="BTP" localSheetId="3">#REF!</definedName>
    <definedName name="BTP" localSheetId="0">#REF!</definedName>
    <definedName name="BTP">#REF!</definedName>
    <definedName name="CCCA" localSheetId="6">#REF!</definedName>
    <definedName name="CCCA" localSheetId="7">#REF!</definedName>
    <definedName name="CCCA" localSheetId="5">#REF!</definedName>
    <definedName name="CCCA" localSheetId="1">#REF!</definedName>
    <definedName name="CCCA" localSheetId="3">#REF!</definedName>
    <definedName name="CCCA" localSheetId="0">#REF!</definedName>
    <definedName name="CCCA">#REF!</definedName>
    <definedName name="CIVA" localSheetId="6">#REF!</definedName>
    <definedName name="CIVA" localSheetId="7">#REF!</definedName>
    <definedName name="CIVA" localSheetId="5">#REF!</definedName>
    <definedName name="CIVA" localSheetId="1">#REF!</definedName>
    <definedName name="CIVA" localSheetId="3">#REF!</definedName>
    <definedName name="CIVA" localSheetId="0">#REF!</definedName>
    <definedName name="CIVA">#REF!</definedName>
    <definedName name="COMP" localSheetId="6">#REF!</definedName>
    <definedName name="COMP" localSheetId="7">#REF!</definedName>
    <definedName name="COMP" localSheetId="5">#REF!</definedName>
    <definedName name="COMP" localSheetId="1">#REF!</definedName>
    <definedName name="COMP" localSheetId="3">#REF!</definedName>
    <definedName name="COMP" localSheetId="0">#REF!</definedName>
    <definedName name="COMP">#REF!</definedName>
    <definedName name="data00">'[3]2000 data'!$A$1:$FO$36</definedName>
    <definedName name="data01">'[3]2001 data'!$A$1:$CU$36</definedName>
    <definedName name="data02">'[3]2002 data'!$A$1:$CY$36</definedName>
    <definedName name="data03">'[3]2003 data'!$A$1:$DA$36</definedName>
    <definedName name="data04">'[3]2004 data'!$A$1:$DA$36</definedName>
    <definedName name="data05">'[3]2005 data'!$A$1:$CU$36</definedName>
    <definedName name="data06">'[3]2006 data'!$A$1:$CO$36</definedName>
    <definedName name="data07">'[3]2007 data'!$A$1:$CK$36</definedName>
    <definedName name="data08">'[3]2008 data'!$A$1:$CG$36</definedName>
    <definedName name="data09">'[3]2009 data'!$A$1:$CC$36</definedName>
    <definedName name="data10">'[3]2010 data'!$A$1:$CC$36</definedName>
    <definedName name="data11">'[3]2011 data '!$A$1:$CC$37</definedName>
    <definedName name="_xlnm.Database" localSheetId="6">#REF!</definedName>
    <definedName name="_xlnm.Database" localSheetId="7">#REF!</definedName>
    <definedName name="_xlnm.Database" localSheetId="5">#REF!</definedName>
    <definedName name="_xlnm.Database" localSheetId="1">#REF!</definedName>
    <definedName name="_xlnm.Database" localSheetId="3">#REF!</definedName>
    <definedName name="_xlnm.Database" localSheetId="0">#REF!</definedName>
    <definedName name="_xlnm.Database">#REF!</definedName>
    <definedName name="Date_Range">[2]cpi06!$A$2:$A$10,[2]cpi06!$A$11:$A$243</definedName>
    <definedName name="DATES">#N/A</definedName>
    <definedName name="db" localSheetId="6">#REF!</definedName>
    <definedName name="db" localSheetId="7">#REF!</definedName>
    <definedName name="db" localSheetId="5">#REF!</definedName>
    <definedName name="db" localSheetId="1">#REF!</definedName>
    <definedName name="db" localSheetId="3">#REF!</definedName>
    <definedName name="db" localSheetId="0">#REF!</definedName>
    <definedName name="db">#REF!</definedName>
    <definedName name="DISTRIBUTOR_NAME">'[4]1. Information'!$F$14</definedName>
    <definedName name="fgngdh">'[5]1. Information'!$F$14</definedName>
    <definedName name="FTE" localSheetId="6">#REF!</definedName>
    <definedName name="FTE" localSheetId="7">#REF!</definedName>
    <definedName name="FTE" localSheetId="5">#REF!</definedName>
    <definedName name="FTE" localSheetId="1">#REF!</definedName>
    <definedName name="FTE" localSheetId="3">#REF!</definedName>
    <definedName name="FTE" localSheetId="0">#REF!</definedName>
    <definedName name="FTE">#REF!</definedName>
    <definedName name="FTPT" localSheetId="6">#REF!</definedName>
    <definedName name="FTPT" localSheetId="7">#REF!</definedName>
    <definedName name="FTPT" localSheetId="5">#REF!</definedName>
    <definedName name="FTPT" localSheetId="1">#REF!</definedName>
    <definedName name="FTPT" localSheetId="3">#REF!</definedName>
    <definedName name="FTPT" localSheetId="0">#REF!</definedName>
    <definedName name="FTPT">#REF!</definedName>
    <definedName name="fvsv">'[5]1. Information'!$F$14</definedName>
    <definedName name="GCFC" localSheetId="6">#REF!</definedName>
    <definedName name="GCFC" localSheetId="7">#REF!</definedName>
    <definedName name="GCFC" localSheetId="5">#REF!</definedName>
    <definedName name="GCFC" localSheetId="1">#REF!</definedName>
    <definedName name="GCFC" localSheetId="3">#REF!</definedName>
    <definedName name="GCFC" localSheetId="0">#REF!</definedName>
    <definedName name="GCFC">#REF!</definedName>
    <definedName name="GOC" localSheetId="6">#REF!</definedName>
    <definedName name="GOC" localSheetId="7">#REF!</definedName>
    <definedName name="GOC" localSheetId="5">#REF!</definedName>
    <definedName name="GOC" localSheetId="1">#REF!</definedName>
    <definedName name="GOC" localSheetId="3">#REF!</definedName>
    <definedName name="GOC" localSheetId="0">#REF!</definedName>
    <definedName name="GOC">#REF!</definedName>
    <definedName name="GOCWI" localSheetId="6">#REF!</definedName>
    <definedName name="GOCWI" localSheetId="7">#REF!</definedName>
    <definedName name="GOCWI" localSheetId="5">#REF!</definedName>
    <definedName name="GOCWI" localSheetId="1">#REF!</definedName>
    <definedName name="GOCWI" localSheetId="3">#REF!</definedName>
    <definedName name="GOCWI" localSheetId="0">#REF!</definedName>
    <definedName name="GOCWI">#REF!</definedName>
    <definedName name="GOIPD" localSheetId="6">#REF!</definedName>
    <definedName name="GOIPD" localSheetId="7">#REF!</definedName>
    <definedName name="GOIPD" localSheetId="5">#REF!</definedName>
    <definedName name="GOIPD" localSheetId="1">#REF!</definedName>
    <definedName name="GOIPD" localSheetId="3">#REF!</definedName>
    <definedName name="GOIPD" localSheetId="0">#REF!</definedName>
    <definedName name="GOIPD">#REF!</definedName>
    <definedName name="GOX" localSheetId="6">#REF!</definedName>
    <definedName name="GOX" localSheetId="7">#REF!</definedName>
    <definedName name="GOX" localSheetId="5">#REF!</definedName>
    <definedName name="GOX" localSheetId="1">#REF!</definedName>
    <definedName name="GOX" localSheetId="3">#REF!</definedName>
    <definedName name="GOX" localSheetId="0">#REF!</definedName>
    <definedName name="GOX">#REF!</definedName>
    <definedName name="GPO" localSheetId="6">#REF!</definedName>
    <definedName name="GPO" localSheetId="7">#REF!</definedName>
    <definedName name="GPO" localSheetId="5">#REF!</definedName>
    <definedName name="GPO" localSheetId="1">#REF!</definedName>
    <definedName name="GPO" localSheetId="3">#REF!</definedName>
    <definedName name="GPO" localSheetId="0">#REF!</definedName>
    <definedName name="GPO">#REF!</definedName>
    <definedName name="GPOCWI" localSheetId="6">#REF!</definedName>
    <definedName name="GPOCWI" localSheetId="7">#REF!</definedName>
    <definedName name="GPOCWI" localSheetId="5">#REF!</definedName>
    <definedName name="GPOCWI" localSheetId="1">#REF!</definedName>
    <definedName name="GPOCWI" localSheetId="3">#REF!</definedName>
    <definedName name="GPOCWI" localSheetId="0">#REF!</definedName>
    <definedName name="GPOCWI">#REF!</definedName>
    <definedName name="GPOIPD" localSheetId="6">#REF!</definedName>
    <definedName name="GPOIPD" localSheetId="7">#REF!</definedName>
    <definedName name="GPOIPD" localSheetId="5">#REF!</definedName>
    <definedName name="GPOIPD" localSheetId="1">#REF!</definedName>
    <definedName name="GPOIPD" localSheetId="3">#REF!</definedName>
    <definedName name="GPOIPD" localSheetId="0">#REF!</definedName>
    <definedName name="GPOIPD">#REF!</definedName>
    <definedName name="GPOX" localSheetId="6">#REF!</definedName>
    <definedName name="GPOX" localSheetId="7">#REF!</definedName>
    <definedName name="GPOX" localSheetId="5">#REF!</definedName>
    <definedName name="GPOX" localSheetId="1">#REF!</definedName>
    <definedName name="GPOX" localSheetId="3">#REF!</definedName>
    <definedName name="GPOX" localSheetId="0">#REF!</definedName>
    <definedName name="GPOX">#REF!</definedName>
    <definedName name="GPSHR" localSheetId="6">#REF!</definedName>
    <definedName name="GPSHR" localSheetId="7">#REF!</definedName>
    <definedName name="GPSHR" localSheetId="5">#REF!</definedName>
    <definedName name="GPSHR" localSheetId="1">#REF!</definedName>
    <definedName name="GPSHR" localSheetId="3">#REF!</definedName>
    <definedName name="GPSHR" localSheetId="0">#REF!</definedName>
    <definedName name="GPSHR">#REF!</definedName>
    <definedName name="grossplant">'[3]PEG_ Gross Plant'!$C$8:$H$4224</definedName>
    <definedName name="IBT" localSheetId="6">#REF!</definedName>
    <definedName name="IBT" localSheetId="7">#REF!</definedName>
    <definedName name="IBT" localSheetId="5">#REF!</definedName>
    <definedName name="IBT" localSheetId="1">#REF!</definedName>
    <definedName name="IBT" localSheetId="3">#REF!</definedName>
    <definedName name="IBT" localSheetId="0">#REF!</definedName>
    <definedName name="IBT">#REF!</definedName>
    <definedName name="IIC" localSheetId="6">#REF!</definedName>
    <definedName name="IIC" localSheetId="7">#REF!</definedName>
    <definedName name="IIC" localSheetId="5">#REF!</definedName>
    <definedName name="IIC" localSheetId="1">#REF!</definedName>
    <definedName name="IIC" localSheetId="3">#REF!</definedName>
    <definedName name="IIC" localSheetId="0">#REF!</definedName>
    <definedName name="IIC">#REF!</definedName>
    <definedName name="IICWI" localSheetId="6">#REF!</definedName>
    <definedName name="IICWI" localSheetId="7">#REF!</definedName>
    <definedName name="IICWI" localSheetId="5">#REF!</definedName>
    <definedName name="IICWI" localSheetId="1">#REF!</definedName>
    <definedName name="IICWI" localSheetId="3">#REF!</definedName>
    <definedName name="IICWI" localSheetId="0">#REF!</definedName>
    <definedName name="IICWI">#REF!</definedName>
    <definedName name="IIIPD" localSheetId="6">#REF!</definedName>
    <definedName name="IIIPD" localSheetId="7">#REF!</definedName>
    <definedName name="IIIPD" localSheetId="5">#REF!</definedName>
    <definedName name="IIIPD" localSheetId="1">#REF!</definedName>
    <definedName name="IIIPD" localSheetId="3">#REF!</definedName>
    <definedName name="IIIPD" localSheetId="0">#REF!</definedName>
    <definedName name="IIIPD">#REF!</definedName>
    <definedName name="IIX" localSheetId="6">#REF!</definedName>
    <definedName name="IIX" localSheetId="7">#REF!</definedName>
    <definedName name="IIX" localSheetId="5">#REF!</definedName>
    <definedName name="IIX" localSheetId="1">#REF!</definedName>
    <definedName name="IIX" localSheetId="3">#REF!</definedName>
    <definedName name="IIX" localSheetId="0">#REF!</definedName>
    <definedName name="IIX">#REF!</definedName>
    <definedName name="IUE" localSheetId="6">#REF!</definedName>
    <definedName name="IUE" localSheetId="7">#REF!</definedName>
    <definedName name="IUE" localSheetId="5">#REF!</definedName>
    <definedName name="IUE" localSheetId="1">#REF!</definedName>
    <definedName name="IUE" localSheetId="3">#REF!</definedName>
    <definedName name="IUE" localSheetId="0">#REF!</definedName>
    <definedName name="IUE">#REF!</definedName>
    <definedName name="NCCA" localSheetId="6">#REF!</definedName>
    <definedName name="NCCA" localSheetId="7">#REF!</definedName>
    <definedName name="NCCA" localSheetId="5">#REF!</definedName>
    <definedName name="NCCA" localSheetId="1">#REF!</definedName>
    <definedName name="NCCA" localSheetId="3">#REF!</definedName>
    <definedName name="NCCA" localSheetId="0">#REF!</definedName>
    <definedName name="NCCA">#REF!</definedName>
    <definedName name="NETINT" localSheetId="6">#REF!</definedName>
    <definedName name="NETINT" localSheetId="7">#REF!</definedName>
    <definedName name="NETINT" localSheetId="5">#REF!</definedName>
    <definedName name="NETINT" localSheetId="1">#REF!</definedName>
    <definedName name="NETINT" localSheetId="3">#REF!</definedName>
    <definedName name="NETINT" localSheetId="0">#REF!</definedName>
    <definedName name="NETINT">#REF!</definedName>
    <definedName name="PBT" localSheetId="6">#REF!</definedName>
    <definedName name="PBT" localSheetId="7">#REF!</definedName>
    <definedName name="PBT" localSheetId="5">#REF!</definedName>
    <definedName name="PBT" localSheetId="1">#REF!</definedName>
    <definedName name="PBT" localSheetId="3">#REF!</definedName>
    <definedName name="PBT" localSheetId="0">#REF!</definedName>
    <definedName name="PBT">#REF!</definedName>
    <definedName name="PeerGroup1">'[6]Peer Group Unit Cost Calc'!$A$4:$C$14</definedName>
    <definedName name="PeerGroup2">'[6]Peer Group Unit Cost Calc'!$D$4:$F$13</definedName>
    <definedName name="PeerGroup3">'[6]Peer Group Unit Cost Calc'!$G$4:$I$13</definedName>
    <definedName name="PeerGroup4">'[6]Peer Group Unit Cost Calc'!$A$20:$C$30</definedName>
    <definedName name="PeerGroup5">'[6]Peer Group Unit Cost Calc'!$D$20:$F$37</definedName>
    <definedName name="PeerGroup6">'[6]Peer Group Unit Cost Calc'!$G$20:$I$32</definedName>
    <definedName name="PEP" localSheetId="6">#REF!</definedName>
    <definedName name="PEP" localSheetId="7">#REF!</definedName>
    <definedName name="PEP" localSheetId="5">#REF!</definedName>
    <definedName name="PEP" localSheetId="1">#REF!</definedName>
    <definedName name="PEP" localSheetId="3">#REF!</definedName>
    <definedName name="PEP" localSheetId="0">#REF!</definedName>
    <definedName name="PEP">#REF!</definedName>
    <definedName name="PIVA" localSheetId="6">#REF!</definedName>
    <definedName name="PIVA" localSheetId="7">#REF!</definedName>
    <definedName name="PIVA" localSheetId="5">#REF!</definedName>
    <definedName name="PIVA" localSheetId="1">#REF!</definedName>
    <definedName name="PIVA" localSheetId="3">#REF!</definedName>
    <definedName name="PIVA" localSheetId="0">#REF!</definedName>
    <definedName name="PIVA">#REF!</definedName>
    <definedName name="_xlnm.Print_Area" localSheetId="16">'Cover sheet'!$A$1:$M$23</definedName>
    <definedName name="_xlnm.Print_Area" localSheetId="17">READ_ME!$A$1:$P$40</definedName>
    <definedName name="_xlnm.Print_Area" localSheetId="13">TFP_Calcs!$A$1:$K$133</definedName>
    <definedName name="_xlnm.Print_Area" localSheetId="14">TFP_dataset!$B$2:$AC$239</definedName>
    <definedName name="PTI" localSheetId="6">#REF!</definedName>
    <definedName name="PTI" localSheetId="7">#REF!</definedName>
    <definedName name="PTI" localSheetId="5">#REF!</definedName>
    <definedName name="PTI" localSheetId="1">#REF!</definedName>
    <definedName name="PTI" localSheetId="3">#REF!</definedName>
    <definedName name="PTI" localSheetId="0">#REF!</definedName>
    <definedName name="PTI">#REF!</definedName>
    <definedName name="RIP" localSheetId="6">#REF!</definedName>
    <definedName name="RIP" localSheetId="7">#REF!</definedName>
    <definedName name="RIP" localSheetId="5">#REF!</definedName>
    <definedName name="RIP" localSheetId="1">#REF!</definedName>
    <definedName name="RIP" localSheetId="3">#REF!</definedName>
    <definedName name="RIP" localSheetId="0">#REF!</definedName>
    <definedName name="RIP">#REF!</definedName>
    <definedName name="SGDP" localSheetId="6">#REF!</definedName>
    <definedName name="SGDP" localSheetId="7">#REF!</definedName>
    <definedName name="SGDP" localSheetId="5">#REF!</definedName>
    <definedName name="SGDP" localSheetId="1">#REF!</definedName>
    <definedName name="SGDP" localSheetId="3">#REF!</definedName>
    <definedName name="SGDP" localSheetId="0">#REF!</definedName>
    <definedName name="SGDP">#REF!</definedName>
    <definedName name="SUB" localSheetId="6">#REF!</definedName>
    <definedName name="SUB" localSheetId="7">#REF!</definedName>
    <definedName name="SUB" localSheetId="5">#REF!</definedName>
    <definedName name="SUB" localSheetId="1">#REF!</definedName>
    <definedName name="SUB" localSheetId="3">#REF!</definedName>
    <definedName name="SUB" localSheetId="0">#REF!</definedName>
    <definedName name="SUB">#REF!</definedName>
    <definedName name="SUPPS" localSheetId="6">#REF!</definedName>
    <definedName name="SUPPS" localSheetId="7">#REF!</definedName>
    <definedName name="SUPPS" localSheetId="5">#REF!</definedName>
    <definedName name="SUPPS" localSheetId="1">#REF!</definedName>
    <definedName name="SUPPS" localSheetId="3">#REF!</definedName>
    <definedName name="SUPPS" localSheetId="0">#REF!</definedName>
    <definedName name="SUPPS">#REF!</definedName>
    <definedName name="SUR" localSheetId="6">#REF!</definedName>
    <definedName name="SUR" localSheetId="7">#REF!</definedName>
    <definedName name="SUR" localSheetId="5">#REF!</definedName>
    <definedName name="SUR" localSheetId="1">#REF!</definedName>
    <definedName name="SUR" localSheetId="3">#REF!</definedName>
    <definedName name="SUR" localSheetId="0">#REF!</definedName>
    <definedName name="SUR">#REF!</definedName>
    <definedName name="TableName">"Dummy"</definedName>
    <definedName name="TFP_PG_Comp_121307_b" localSheetId="6">#REF!</definedName>
    <definedName name="TFP_PG_Comp_121307_b" localSheetId="7">#REF!</definedName>
    <definedName name="TFP_PG_Comp_121307_b" localSheetId="5">#REF!</definedName>
    <definedName name="TFP_PG_Comp_121307_b" localSheetId="1">#REF!</definedName>
    <definedName name="TFP_PG_Comp_121307_b" localSheetId="3">#REF!</definedName>
    <definedName name="TFP_PG_Comp_121307_b" localSheetId="0">#REF!</definedName>
    <definedName name="TFP_PG_Comp_121307_b">#REF!</definedName>
    <definedName name="TrialBalance02">'[7]COMPANY_DRILL_TrialBalance_(540'!$A$3012:$D$3105</definedName>
    <definedName name="TrialBalance03">'[7]COMPANY_DRILL_TrialBalance_(540'!$A$3110:$D$3205</definedName>
    <definedName name="TrialBalance04">'[7]COMPANY_DRILL_TrialBalance_(540'!$A$3210:$D$3305</definedName>
    <definedName name="TrialBalance05">'[7]COMPANY_DRILL_TrialBalance_(540'!$A$3310:$D$3402</definedName>
    <definedName name="TrialBalance06">'[7]COMPANY_DRILL_TrialBalance_(540'!$A$3407:$D$3496</definedName>
    <definedName name="TrialBalance07">'[7]COMPANY_DRILL_TrialBalance_(540'!$A$3501:$D$3586</definedName>
    <definedName name="TrialBalance08">'[7]COMPANY_DRILL_TrialBalance_(540'!$A$3591:$D$3671</definedName>
    <definedName name="TrialBalance09">'[7]COMPANY_DRILL_TrialBalance_(540'!$A$3676:$D$3753</definedName>
    <definedName name="TrialBalance10">'[7]COMPANY_DRILL_TrialBalance_(540'!$A$3758:$D$3836</definedName>
    <definedName name="TrialBalance11">'[7]COMPANY_DRILL_TrialBalance_(540'!$A$3841:$C$3916</definedName>
    <definedName name="TrialBalance89">'[7]COMPANY_DRILL_TrialBalance_(540'!$A$5:$D$307</definedName>
    <definedName name="TrialBalance90">'[7]COMPANY_DRILL_TrialBalance_(540'!$A$312:$D$614</definedName>
    <definedName name="TrialBalance91">'[7]COMPANY_DRILL_TrialBalance_(540'!$A$619:$D$917</definedName>
    <definedName name="Trialbalance92">'[7]COMPANY_DRILL_TrialBalance_(540'!$A$922:$D$1220</definedName>
    <definedName name="TrialBalance93">'[7]COMPANY_DRILL_TrialBalance_(540'!$A$1225:$D$1522</definedName>
    <definedName name="TrialBalance94">'[7]COMPANY_DRILL_TrialBalance_(540'!$A$1527:$D$1829</definedName>
    <definedName name="TrialBalance95">'[7]COMPANY_DRILL_TrialBalance_(540'!$A$1834:$D$2136</definedName>
    <definedName name="TrialBalance96">'[7]COMPANY_DRILL_TrialBalance_(540'!$A$2141:$D$2445</definedName>
    <definedName name="TrialBalance97">'[7]COMPANY_DRILL_TrialBalance_(540'!$A$2450:$D$2753</definedName>
    <definedName name="TrialBalance98">'[7]COMPANY_DRILL_TrialBalance_(540'!$A$2758:$D$3007</definedName>
    <definedName name="WS" localSheetId="6">#REF!</definedName>
    <definedName name="WS" localSheetId="7">#REF!</definedName>
    <definedName name="WS" localSheetId="5">#REF!</definedName>
    <definedName name="WS" localSheetId="1">#REF!</definedName>
    <definedName name="WS" localSheetId="3">#REF!</definedName>
    <definedName name="WS" localSheetId="0">#REF!</definedName>
    <definedName name="WS">#REF!</definedName>
    <definedName name="XK_by_Peer_Group" localSheetId="6">#REF!</definedName>
    <definedName name="XK_by_Peer_Group" localSheetId="7">#REF!</definedName>
    <definedName name="XK_by_Peer_Group" localSheetId="5">#REF!</definedName>
    <definedName name="XK_by_Peer_Group" localSheetId="1">#REF!</definedName>
    <definedName name="XK_by_Peer_Group" localSheetId="3">#REF!</definedName>
    <definedName name="XK_by_Peer_Group" localSheetId="0">#REF!</definedName>
    <definedName name="XK_by_Peer_Group">#REF!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G69" i="57" l="1"/>
  <c r="AI106" i="73" l="1"/>
  <c r="AI105" i="73"/>
  <c r="AI104" i="73"/>
  <c r="AJ61" i="73" l="1"/>
  <c r="AJ62" i="73"/>
  <c r="AJ63" i="73"/>
  <c r="AJ64" i="73"/>
  <c r="AJ65" i="73"/>
  <c r="AJ66" i="73"/>
  <c r="AJ67" i="73"/>
  <c r="AJ68" i="73"/>
  <c r="AJ69" i="73"/>
  <c r="AJ70" i="73"/>
  <c r="AJ71" i="73"/>
  <c r="AJ72" i="73"/>
  <c r="AJ73" i="73"/>
  <c r="AJ74" i="73"/>
  <c r="AJ75" i="73"/>
  <c r="AJ76" i="73"/>
  <c r="AJ77" i="73"/>
  <c r="AJ78" i="73"/>
  <c r="AJ79" i="73"/>
  <c r="AJ80" i="73"/>
  <c r="AJ81" i="73"/>
  <c r="AJ82" i="73"/>
  <c r="AJ83" i="73"/>
  <c r="AJ84" i="73"/>
  <c r="AJ85" i="73"/>
  <c r="AJ86" i="73"/>
  <c r="AJ87" i="73"/>
  <c r="AJ88" i="73"/>
  <c r="AJ89" i="73"/>
  <c r="AJ90" i="73"/>
  <c r="AJ91" i="73"/>
  <c r="AJ92" i="73"/>
  <c r="AJ93" i="73"/>
  <c r="AJ94" i="73"/>
  <c r="AJ95" i="73"/>
  <c r="AJ96" i="73"/>
  <c r="AJ97" i="73"/>
  <c r="AJ98" i="73"/>
  <c r="AJ99" i="73"/>
  <c r="AJ100" i="73"/>
  <c r="AJ101" i="73"/>
  <c r="AJ60" i="73"/>
  <c r="AI61" i="73"/>
  <c r="AI62" i="73"/>
  <c r="AI63" i="73"/>
  <c r="AI64" i="73"/>
  <c r="AI65" i="73"/>
  <c r="AI66" i="73"/>
  <c r="AI67" i="73"/>
  <c r="AI68" i="73"/>
  <c r="AI69" i="73"/>
  <c r="AI70" i="73"/>
  <c r="AI71" i="73"/>
  <c r="AI72" i="73"/>
  <c r="AI73" i="73"/>
  <c r="AI74" i="73"/>
  <c r="AI75" i="73"/>
  <c r="AI76" i="73"/>
  <c r="AI77" i="73"/>
  <c r="AI78" i="73"/>
  <c r="AI79" i="73"/>
  <c r="AI80" i="73"/>
  <c r="AI81" i="73"/>
  <c r="AI82" i="73"/>
  <c r="AI83" i="73"/>
  <c r="AI84" i="73"/>
  <c r="AI85" i="73"/>
  <c r="AI86" i="73"/>
  <c r="AI87" i="73"/>
  <c r="AI88" i="73"/>
  <c r="AI89" i="73"/>
  <c r="AI90" i="73"/>
  <c r="AI91" i="73"/>
  <c r="AI92" i="73"/>
  <c r="AI93" i="73"/>
  <c r="AI94" i="73"/>
  <c r="AI95" i="73"/>
  <c r="AI96" i="73"/>
  <c r="AI97" i="73"/>
  <c r="AI98" i="73"/>
  <c r="AI99" i="73"/>
  <c r="AI100" i="73"/>
  <c r="AI101" i="73"/>
  <c r="AI60" i="73"/>
  <c r="M105" i="73"/>
  <c r="M78" i="73"/>
  <c r="O78" i="73" s="1"/>
  <c r="AB71" i="73"/>
  <c r="G119" i="73"/>
  <c r="K10" i="61"/>
  <c r="E58" i="61"/>
  <c r="E9" i="61"/>
  <c r="E10" i="61"/>
  <c r="E11" i="61"/>
  <c r="E12" i="61"/>
  <c r="E13" i="61"/>
  <c r="E14" i="61"/>
  <c r="E15" i="61"/>
  <c r="E16" i="61"/>
  <c r="E17" i="61"/>
  <c r="E18" i="61"/>
  <c r="E19" i="61"/>
  <c r="E20" i="61"/>
  <c r="E21" i="61"/>
  <c r="E22" i="61"/>
  <c r="E23"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50" i="61"/>
  <c r="E51" i="61"/>
  <c r="E52" i="61"/>
  <c r="E53" i="61"/>
  <c r="E54" i="61"/>
  <c r="E55" i="61"/>
  <c r="E56" i="61"/>
  <c r="E8" i="61"/>
  <c r="L18" i="39"/>
  <c r="L19" i="39"/>
  <c r="L20" i="39"/>
  <c r="L21" i="39"/>
  <c r="L22" i="39"/>
  <c r="L23" i="39"/>
  <c r="L24" i="39"/>
  <c r="L25" i="39"/>
  <c r="L26" i="39"/>
  <c r="L27" i="39"/>
  <c r="L28" i="39"/>
  <c r="L29" i="39"/>
  <c r="L30" i="39"/>
  <c r="L31" i="39"/>
  <c r="L32" i="39"/>
  <c r="L33" i="39"/>
  <c r="L34" i="39"/>
  <c r="L35" i="39"/>
  <c r="L36" i="39"/>
  <c r="L37" i="39"/>
  <c r="L38" i="39"/>
  <c r="L39" i="39"/>
  <c r="L40" i="39"/>
  <c r="L41" i="39"/>
  <c r="L42" i="39"/>
  <c r="L43" i="39"/>
  <c r="L44" i="39"/>
  <c r="L45" i="39"/>
  <c r="L46" i="39"/>
  <c r="L47" i="39"/>
  <c r="L48" i="39"/>
  <c r="L49" i="39"/>
  <c r="L50" i="39"/>
  <c r="L51" i="39"/>
  <c r="L52" i="39"/>
  <c r="L53" i="39"/>
  <c r="L54" i="39"/>
  <c r="L55" i="39"/>
  <c r="L56" i="39"/>
  <c r="L57" i="39"/>
  <c r="L58" i="39"/>
  <c r="L59" i="39"/>
  <c r="L60" i="39"/>
  <c r="L61" i="39"/>
  <c r="L62" i="39"/>
  <c r="L63" i="39"/>
  <c r="L64" i="39"/>
  <c r="L65" i="39"/>
  <c r="L17" i="39"/>
  <c r="J13" i="61"/>
  <c r="F14" i="39"/>
  <c r="X59" i="73"/>
  <c r="F11" i="39"/>
  <c r="G33" i="39"/>
  <c r="F32" i="39"/>
  <c r="M77" i="73"/>
  <c r="O77" i="73" s="1"/>
  <c r="M81" i="73"/>
  <c r="O81" i="73" s="1"/>
  <c r="M82" i="73"/>
  <c r="O82" i="73" s="1"/>
  <c r="M83" i="73"/>
  <c r="O83" i="73" s="1"/>
  <c r="M84" i="73"/>
  <c r="O84" i="73" s="1"/>
  <c r="M85" i="73"/>
  <c r="L76" i="73"/>
  <c r="Q33" i="74"/>
  <c r="P22" i="74"/>
  <c r="Q22" i="74" s="1"/>
  <c r="E22" i="74"/>
  <c r="D22" i="74"/>
  <c r="C22" i="74"/>
  <c r="P21" i="74"/>
  <c r="Q21" i="74" s="1"/>
  <c r="E21" i="74"/>
  <c r="D21" i="74"/>
  <c r="C21" i="74"/>
  <c r="P20" i="74"/>
  <c r="Q20" i="74" s="1"/>
  <c r="E20" i="74"/>
  <c r="D20" i="74"/>
  <c r="C20" i="74"/>
  <c r="P19" i="74"/>
  <c r="Q19" i="74" s="1"/>
  <c r="E19" i="74"/>
  <c r="D19" i="74"/>
  <c r="F19" i="74" s="1"/>
  <c r="C19" i="74"/>
  <c r="P18" i="74"/>
  <c r="Q18" i="74" s="1"/>
  <c r="E18" i="74"/>
  <c r="D18" i="74"/>
  <c r="C18" i="74"/>
  <c r="P17" i="74"/>
  <c r="Q17" i="74" s="1"/>
  <c r="E17" i="74"/>
  <c r="D17" i="74"/>
  <c r="F17" i="74" s="1"/>
  <c r="C17" i="74"/>
  <c r="P16" i="74"/>
  <c r="Q16" i="74" s="1"/>
  <c r="E16" i="74"/>
  <c r="D16" i="74"/>
  <c r="C16" i="74"/>
  <c r="P15" i="74"/>
  <c r="Q15" i="74" s="1"/>
  <c r="E15" i="74"/>
  <c r="D15" i="74"/>
  <c r="F15" i="74" s="1"/>
  <c r="C15" i="74"/>
  <c r="P14" i="74"/>
  <c r="Q14" i="74" s="1"/>
  <c r="E14" i="74"/>
  <c r="D14" i="74"/>
  <c r="C14" i="74"/>
  <c r="P13" i="74"/>
  <c r="Q13" i="74" s="1"/>
  <c r="E13" i="74"/>
  <c r="D13" i="74"/>
  <c r="F13" i="74" s="1"/>
  <c r="C13" i="74"/>
  <c r="P12" i="74"/>
  <c r="Q12" i="74" s="1"/>
  <c r="E12" i="74"/>
  <c r="D12" i="74"/>
  <c r="C12" i="74"/>
  <c r="P11" i="74"/>
  <c r="Q11" i="74" s="1"/>
  <c r="E11" i="74"/>
  <c r="D11" i="74"/>
  <c r="F11" i="74" s="1"/>
  <c r="C11" i="74"/>
  <c r="P10" i="74"/>
  <c r="Q10" i="74" s="1"/>
  <c r="E10" i="74"/>
  <c r="F10" i="74" s="1"/>
  <c r="D10" i="74"/>
  <c r="C10" i="74"/>
  <c r="L79" i="73"/>
  <c r="L86" i="73"/>
  <c r="O101" i="73"/>
  <c r="O100" i="73"/>
  <c r="O99" i="73"/>
  <c r="O98" i="73"/>
  <c r="O97" i="73"/>
  <c r="O96" i="73"/>
  <c r="O95" i="73"/>
  <c r="O94" i="73"/>
  <c r="O93" i="73"/>
  <c r="O92" i="73"/>
  <c r="O91" i="73"/>
  <c r="O90" i="73"/>
  <c r="O89" i="73"/>
  <c r="O88" i="73"/>
  <c r="O87" i="73"/>
  <c r="O85" i="73"/>
  <c r="O75" i="73"/>
  <c r="O74" i="73"/>
  <c r="O73" i="73"/>
  <c r="O72" i="73"/>
  <c r="O71" i="73"/>
  <c r="O70" i="73"/>
  <c r="O69" i="73"/>
  <c r="O68" i="73"/>
  <c r="O67" i="73"/>
  <c r="O66" i="73"/>
  <c r="O65" i="73"/>
  <c r="O64" i="73"/>
  <c r="O63" i="73"/>
  <c r="O62" i="73"/>
  <c r="O61" i="73"/>
  <c r="O60" i="73"/>
  <c r="N101" i="73"/>
  <c r="N100" i="73"/>
  <c r="N99" i="73"/>
  <c r="N98" i="73"/>
  <c r="N97" i="73"/>
  <c r="N96" i="73"/>
  <c r="N95" i="73"/>
  <c r="N94" i="73"/>
  <c r="N93" i="73"/>
  <c r="N92" i="73"/>
  <c r="N91" i="73"/>
  <c r="N90" i="73"/>
  <c r="N89" i="73"/>
  <c r="N88" i="73"/>
  <c r="N87" i="73"/>
  <c r="N86" i="73"/>
  <c r="N85" i="73"/>
  <c r="N84" i="73"/>
  <c r="N83" i="73"/>
  <c r="N82" i="73"/>
  <c r="N81" i="73"/>
  <c r="N80" i="73"/>
  <c r="N79" i="73"/>
  <c r="N78" i="73"/>
  <c r="N77" i="73"/>
  <c r="N76" i="73"/>
  <c r="N75" i="73"/>
  <c r="N74" i="73"/>
  <c r="N73" i="73"/>
  <c r="N72" i="73"/>
  <c r="N71" i="73"/>
  <c r="N70" i="73"/>
  <c r="N69" i="73"/>
  <c r="N68" i="73"/>
  <c r="N67" i="73"/>
  <c r="N66" i="73"/>
  <c r="N65" i="73"/>
  <c r="N64" i="73"/>
  <c r="N63" i="73"/>
  <c r="N62" i="73"/>
  <c r="N61" i="73"/>
  <c r="N60" i="73" s="1"/>
  <c r="N59" i="73" s="1"/>
  <c r="E151" i="73"/>
  <c r="E150" i="73"/>
  <c r="E149" i="73"/>
  <c r="Y136" i="73"/>
  <c r="Y130" i="73"/>
  <c r="Z130" i="73" s="1"/>
  <c r="G130" i="73"/>
  <c r="G131" i="73" s="1"/>
  <c r="D129" i="73"/>
  <c r="E129" i="73" s="1"/>
  <c r="E130" i="73" s="1"/>
  <c r="E128" i="73"/>
  <c r="Y127" i="73"/>
  <c r="E127" i="73"/>
  <c r="J126" i="73"/>
  <c r="J129" i="73" s="1"/>
  <c r="G133" i="73" s="1"/>
  <c r="E126" i="73"/>
  <c r="J125" i="73"/>
  <c r="H125" i="73"/>
  <c r="F125" i="73"/>
  <c r="J127" i="73" s="1"/>
  <c r="Z124" i="73"/>
  <c r="Y124" i="73"/>
  <c r="Y123" i="73"/>
  <c r="Z123" i="73" s="1"/>
  <c r="Z122" i="73"/>
  <c r="Y122" i="73"/>
  <c r="AI121" i="73"/>
  <c r="AH121" i="73"/>
  <c r="Z121" i="73"/>
  <c r="Y121" i="73"/>
  <c r="Y118" i="73"/>
  <c r="Y117" i="73"/>
  <c r="G117" i="73"/>
  <c r="Y116" i="73"/>
  <c r="G116" i="73"/>
  <c r="Y115" i="73"/>
  <c r="Y114" i="73"/>
  <c r="X110" i="73"/>
  <c r="X111" i="73" s="1"/>
  <c r="G110" i="73"/>
  <c r="G111" i="73" s="1"/>
  <c r="R106" i="73"/>
  <c r="G106" i="73"/>
  <c r="F106" i="73"/>
  <c r="V105" i="73"/>
  <c r="T105" i="73"/>
  <c r="S105" i="73"/>
  <c r="R105" i="73"/>
  <c r="J105" i="73"/>
  <c r="G105" i="73"/>
  <c r="F105" i="73"/>
  <c r="R104" i="73"/>
  <c r="G104" i="73"/>
  <c r="F104" i="73"/>
  <c r="AA101" i="73"/>
  <c r="X101" i="73"/>
  <c r="Y101" i="73" s="1"/>
  <c r="W101" i="73"/>
  <c r="J101" i="73"/>
  <c r="H101" i="73"/>
  <c r="AA100" i="73"/>
  <c r="X100" i="73"/>
  <c r="Y100" i="73" s="1"/>
  <c r="Z100" i="73" s="1"/>
  <c r="W100" i="73"/>
  <c r="J100" i="73"/>
  <c r="H100" i="73"/>
  <c r="AA99" i="73"/>
  <c r="X99" i="73"/>
  <c r="Y99" i="73" s="1"/>
  <c r="W99" i="73"/>
  <c r="H99" i="73"/>
  <c r="J99" i="73" s="1"/>
  <c r="AA98" i="73"/>
  <c r="X98" i="73"/>
  <c r="Y98" i="73" s="1"/>
  <c r="W98" i="73"/>
  <c r="J98" i="73"/>
  <c r="H98" i="73"/>
  <c r="AA97" i="73"/>
  <c r="X97" i="73"/>
  <c r="W97" i="73"/>
  <c r="AA96" i="73"/>
  <c r="X96" i="73"/>
  <c r="W96" i="73"/>
  <c r="AA95" i="73"/>
  <c r="X95" i="73"/>
  <c r="W95" i="73"/>
  <c r="AA94" i="73"/>
  <c r="X94" i="73"/>
  <c r="W94" i="73"/>
  <c r="AA93" i="73"/>
  <c r="X93" i="73"/>
  <c r="W93" i="73"/>
  <c r="AA92" i="73"/>
  <c r="X92" i="73"/>
  <c r="W92" i="73"/>
  <c r="AA91" i="73"/>
  <c r="X91" i="73"/>
  <c r="W91" i="73"/>
  <c r="AA90" i="73"/>
  <c r="X90" i="73"/>
  <c r="W90" i="73"/>
  <c r="AA89" i="73"/>
  <c r="X89" i="73"/>
  <c r="W89" i="73"/>
  <c r="W88" i="73" s="1"/>
  <c r="W87" i="73" s="1"/>
  <c r="W86" i="73" s="1"/>
  <c r="W85" i="73" s="1"/>
  <c r="W84" i="73" s="1"/>
  <c r="W83" i="73" s="1"/>
  <c r="W82" i="73" s="1"/>
  <c r="T89" i="73"/>
  <c r="AA88" i="73"/>
  <c r="X88" i="73"/>
  <c r="U88" i="73"/>
  <c r="AA87" i="73"/>
  <c r="X87" i="73"/>
  <c r="U87" i="73"/>
  <c r="AA86" i="73"/>
  <c r="X86" i="73"/>
  <c r="U86" i="73"/>
  <c r="AA85" i="73"/>
  <c r="X85" i="73"/>
  <c r="U85" i="73"/>
  <c r="L85" i="73"/>
  <c r="AA84" i="73"/>
  <c r="X84" i="73"/>
  <c r="U84" i="73"/>
  <c r="L84" i="73"/>
  <c r="AA83" i="73"/>
  <c r="X83" i="73"/>
  <c r="U83" i="73"/>
  <c r="L83" i="73"/>
  <c r="I83" i="73"/>
  <c r="AA82" i="73"/>
  <c r="X82" i="73"/>
  <c r="U82" i="73"/>
  <c r="U105" i="73" s="1"/>
  <c r="L82" i="73"/>
  <c r="I82" i="73"/>
  <c r="AA81" i="73"/>
  <c r="X81" i="73"/>
  <c r="U81" i="73"/>
  <c r="L81" i="73"/>
  <c r="I81" i="73"/>
  <c r="AA80" i="73"/>
  <c r="X80" i="73"/>
  <c r="U80" i="73"/>
  <c r="L80" i="73"/>
  <c r="I80" i="73"/>
  <c r="AA79" i="73"/>
  <c r="X79" i="73"/>
  <c r="U79" i="73"/>
  <c r="U89" i="73" s="1"/>
  <c r="I79" i="73"/>
  <c r="AA78" i="73"/>
  <c r="X78" i="73"/>
  <c r="L78" i="73"/>
  <c r="I78" i="73"/>
  <c r="AA77" i="73"/>
  <c r="X77" i="73"/>
  <c r="L77" i="73"/>
  <c r="I77" i="73"/>
  <c r="AA76" i="73"/>
  <c r="X76" i="73"/>
  <c r="I76" i="73"/>
  <c r="AA75" i="73"/>
  <c r="X75" i="73"/>
  <c r="I75" i="73"/>
  <c r="AA74" i="73"/>
  <c r="X74" i="73"/>
  <c r="I74" i="73"/>
  <c r="AA73" i="73"/>
  <c r="X73" i="73"/>
  <c r="I73" i="73"/>
  <c r="AA72" i="73"/>
  <c r="X72" i="73"/>
  <c r="I72" i="73"/>
  <c r="AA71" i="73"/>
  <c r="X71" i="73"/>
  <c r="I71" i="73"/>
  <c r="AA70" i="73"/>
  <c r="X70" i="73"/>
  <c r="AA69" i="73"/>
  <c r="X69" i="73"/>
  <c r="AA68" i="73"/>
  <c r="X68" i="73"/>
  <c r="AA67" i="73"/>
  <c r="X67" i="73"/>
  <c r="AA66" i="73"/>
  <c r="X66" i="73"/>
  <c r="AA65" i="73"/>
  <c r="X65" i="73"/>
  <c r="AA64" i="73"/>
  <c r="X64" i="73"/>
  <c r="AA63" i="73"/>
  <c r="X63" i="73"/>
  <c r="AA62" i="73"/>
  <c r="X62" i="73"/>
  <c r="AA61" i="73"/>
  <c r="X61" i="73"/>
  <c r="AA60" i="73"/>
  <c r="X60" i="73"/>
  <c r="AC59" i="73"/>
  <c r="AA59" i="73"/>
  <c r="AC58" i="73"/>
  <c r="AA58" i="73"/>
  <c r="X58" i="73"/>
  <c r="AC57" i="73"/>
  <c r="AA57" i="73"/>
  <c r="X57" i="73"/>
  <c r="AC56" i="73"/>
  <c r="AA56" i="73"/>
  <c r="X56" i="73"/>
  <c r="AC55" i="73"/>
  <c r="AA55" i="73"/>
  <c r="X55" i="73"/>
  <c r="AC54" i="73"/>
  <c r="AA54" i="73"/>
  <c r="X54" i="73"/>
  <c r="AC53" i="73"/>
  <c r="AA53" i="73"/>
  <c r="X53" i="73"/>
  <c r="AC52" i="73"/>
  <c r="AA52" i="73"/>
  <c r="X52" i="73"/>
  <c r="AC51" i="73"/>
  <c r="AA51" i="73"/>
  <c r="X51" i="73"/>
  <c r="AC50" i="73"/>
  <c r="AA50" i="73"/>
  <c r="X50" i="73"/>
  <c r="AC49" i="73"/>
  <c r="AA49" i="73"/>
  <c r="X49" i="73"/>
  <c r="AC48" i="73"/>
  <c r="AA48" i="73"/>
  <c r="X48" i="73"/>
  <c r="AC47" i="73"/>
  <c r="AA47" i="73"/>
  <c r="X47" i="73"/>
  <c r="AC46" i="73"/>
  <c r="AA46" i="73"/>
  <c r="X46" i="73"/>
  <c r="AC45" i="73"/>
  <c r="AA45" i="73"/>
  <c r="X45" i="73"/>
  <c r="AC44" i="73"/>
  <c r="AA44" i="73"/>
  <c r="X44" i="73"/>
  <c r="AC43" i="73"/>
  <c r="AA43" i="73"/>
  <c r="X43" i="73"/>
  <c r="AC42" i="73"/>
  <c r="AA42" i="73"/>
  <c r="X42" i="73"/>
  <c r="AC41" i="73"/>
  <c r="AA41" i="73"/>
  <c r="X41" i="73"/>
  <c r="AC40" i="73"/>
  <c r="AA40" i="73"/>
  <c r="X40" i="73"/>
  <c r="AC39" i="73"/>
  <c r="AA39" i="73"/>
  <c r="X39" i="73"/>
  <c r="AC38" i="73"/>
  <c r="AA38" i="73"/>
  <c r="X38" i="73"/>
  <c r="AC37" i="73"/>
  <c r="AA37" i="73"/>
  <c r="X37" i="73"/>
  <c r="AC36" i="73"/>
  <c r="AA36" i="73"/>
  <c r="X36" i="73"/>
  <c r="AC35" i="73"/>
  <c r="AA35" i="73"/>
  <c r="X35" i="73"/>
  <c r="AC34" i="73"/>
  <c r="AA34" i="73"/>
  <c r="X34" i="73"/>
  <c r="AC33" i="73"/>
  <c r="AA33" i="73"/>
  <c r="X33" i="73"/>
  <c r="AC32" i="73"/>
  <c r="AA32" i="73"/>
  <c r="X32" i="73"/>
  <c r="AC31" i="73"/>
  <c r="AA31" i="73"/>
  <c r="X31" i="73"/>
  <c r="AC30" i="73"/>
  <c r="AA30" i="73"/>
  <c r="X30" i="73"/>
  <c r="AC29" i="73"/>
  <c r="AA29" i="73"/>
  <c r="X29" i="73"/>
  <c r="AC28" i="73"/>
  <c r="AA28" i="73"/>
  <c r="X28" i="73"/>
  <c r="AC27" i="73"/>
  <c r="AA27" i="73"/>
  <c r="X27" i="73"/>
  <c r="AC26" i="73"/>
  <c r="AA26" i="73"/>
  <c r="X26" i="73"/>
  <c r="AC25" i="73"/>
  <c r="AA25" i="73"/>
  <c r="X25" i="73"/>
  <c r="AC24" i="73"/>
  <c r="AA24" i="73"/>
  <c r="X24" i="73"/>
  <c r="AC23" i="73"/>
  <c r="AA23" i="73"/>
  <c r="X23" i="73"/>
  <c r="AC22" i="73"/>
  <c r="AA22" i="73"/>
  <c r="X22" i="73"/>
  <c r="AC21" i="73"/>
  <c r="AA21" i="73"/>
  <c r="X21" i="73"/>
  <c r="AC20" i="73"/>
  <c r="AA20" i="73"/>
  <c r="X20" i="73"/>
  <c r="AC19" i="73"/>
  <c r="AA19" i="73"/>
  <c r="X19" i="73"/>
  <c r="AC18" i="73"/>
  <c r="AA18" i="73"/>
  <c r="X18" i="73"/>
  <c r="AC17" i="73"/>
  <c r="AA17" i="73"/>
  <c r="X17" i="73"/>
  <c r="AC16" i="73"/>
  <c r="AA16" i="73"/>
  <c r="X16" i="73"/>
  <c r="AC15" i="73"/>
  <c r="AA15" i="73"/>
  <c r="X15" i="73"/>
  <c r="AC14" i="73"/>
  <c r="AA14" i="73"/>
  <c r="X14" i="73"/>
  <c r="AC13" i="73"/>
  <c r="AA13" i="73"/>
  <c r="X13" i="73"/>
  <c r="AC12" i="73"/>
  <c r="AA12" i="73"/>
  <c r="X12" i="73"/>
  <c r="AC11" i="73"/>
  <c r="AA11" i="73"/>
  <c r="X11" i="73"/>
  <c r="D9" i="73"/>
  <c r="M80" i="73" l="1"/>
  <c r="O80" i="73" s="1"/>
  <c r="M76" i="73"/>
  <c r="O76" i="73" s="1"/>
  <c r="M79" i="73"/>
  <c r="O79" i="73" s="1"/>
  <c r="M86" i="73"/>
  <c r="O86" i="73" s="1"/>
  <c r="E27" i="74"/>
  <c r="D28" i="74"/>
  <c r="C28" i="74"/>
  <c r="E28" i="74"/>
  <c r="F12" i="74"/>
  <c r="K13" i="74" s="1"/>
  <c r="F14" i="74"/>
  <c r="K14" i="74" s="1"/>
  <c r="F16" i="74"/>
  <c r="K16" i="74" s="1"/>
  <c r="F18" i="74"/>
  <c r="K19" i="74" s="1"/>
  <c r="F20" i="74"/>
  <c r="K20" i="74" s="1"/>
  <c r="D27" i="74"/>
  <c r="Q28" i="74"/>
  <c r="Q27" i="74"/>
  <c r="K11" i="74"/>
  <c r="K15" i="74"/>
  <c r="K17" i="74"/>
  <c r="F22" i="74"/>
  <c r="F27" i="74" s="1"/>
  <c r="P27" i="74"/>
  <c r="C27" i="74"/>
  <c r="P28" i="74"/>
  <c r="F21" i="74"/>
  <c r="F28" i="74" s="1"/>
  <c r="Z101" i="73"/>
  <c r="Z99" i="73"/>
  <c r="AJ121" i="73"/>
  <c r="AK121" i="73" s="1"/>
  <c r="Z98" i="73"/>
  <c r="H81" i="73"/>
  <c r="H76" i="73"/>
  <c r="H78" i="73"/>
  <c r="H83" i="73"/>
  <c r="W105" i="73"/>
  <c r="W81" i="73"/>
  <c r="W80" i="73" s="1"/>
  <c r="W79" i="73" s="1"/>
  <c r="W78" i="73" s="1"/>
  <c r="W77" i="73" s="1"/>
  <c r="W76" i="73" s="1"/>
  <c r="W75" i="73" s="1"/>
  <c r="W74" i="73" s="1"/>
  <c r="W73" i="73" s="1"/>
  <c r="W72" i="73" s="1"/>
  <c r="W71" i="73" s="1"/>
  <c r="W104" i="73" s="1"/>
  <c r="H71" i="73"/>
  <c r="H104" i="73" s="1"/>
  <c r="H80" i="73"/>
  <c r="K85" i="73"/>
  <c r="Y85" i="73" s="1"/>
  <c r="Z85" i="73" s="1"/>
  <c r="K86" i="73"/>
  <c r="Y86" i="73" s="1"/>
  <c r="Z86" i="73" s="1"/>
  <c r="D95" i="73"/>
  <c r="H92" i="73"/>
  <c r="J92" i="73" s="1"/>
  <c r="H97" i="73"/>
  <c r="J97" i="73" s="1"/>
  <c r="D92" i="73"/>
  <c r="K91" i="73"/>
  <c r="Y91" i="73" s="1"/>
  <c r="Z91" i="73" s="1"/>
  <c r="K89" i="73"/>
  <c r="Y89" i="73" s="1"/>
  <c r="Z89" i="73" s="1"/>
  <c r="D97" i="73"/>
  <c r="K96" i="73"/>
  <c r="Y96" i="73" s="1"/>
  <c r="Z96" i="73" s="1"/>
  <c r="H94" i="73"/>
  <c r="J94" i="73" s="1"/>
  <c r="D94" i="73"/>
  <c r="K93" i="73"/>
  <c r="Y93" i="73" s="1"/>
  <c r="Z93" i="73" s="1"/>
  <c r="H91" i="73"/>
  <c r="J91" i="73" s="1"/>
  <c r="H89" i="73"/>
  <c r="J89" i="73" s="1"/>
  <c r="J106" i="73" s="1"/>
  <c r="H96" i="73"/>
  <c r="J96" i="73" s="1"/>
  <c r="D91" i="73"/>
  <c r="K90" i="73"/>
  <c r="Y90" i="73" s="1"/>
  <c r="Z90" i="73" s="1"/>
  <c r="D89" i="73"/>
  <c r="D106" i="73" s="1"/>
  <c r="D93" i="73"/>
  <c r="H90" i="73"/>
  <c r="J90" i="73" s="1"/>
  <c r="D96" i="73"/>
  <c r="K95" i="73"/>
  <c r="Y95" i="73" s="1"/>
  <c r="Z95" i="73" s="1"/>
  <c r="H93" i="73"/>
  <c r="J93" i="73" s="1"/>
  <c r="K92" i="73"/>
  <c r="Y92" i="73" s="1"/>
  <c r="Z92" i="73" s="1"/>
  <c r="K97" i="73"/>
  <c r="Y97" i="73" s="1"/>
  <c r="Z97" i="73" s="1"/>
  <c r="H95" i="73"/>
  <c r="J95" i="73" s="1"/>
  <c r="D90" i="73"/>
  <c r="K94" i="73"/>
  <c r="Y94" i="73" s="1"/>
  <c r="Z94" i="73" s="1"/>
  <c r="H77" i="73"/>
  <c r="H79" i="73"/>
  <c r="H106" i="73"/>
  <c r="J128" i="73"/>
  <c r="G136" i="73" s="1"/>
  <c r="K81" i="73" s="1"/>
  <c r="Y81" i="73" s="1"/>
  <c r="Z81" i="73" s="1"/>
  <c r="J104" i="73"/>
  <c r="W106" i="73"/>
  <c r="D137" i="73"/>
  <c r="K18" i="74" l="1"/>
  <c r="K12" i="74"/>
  <c r="K22" i="74"/>
  <c r="J11" i="74"/>
  <c r="K21" i="74"/>
  <c r="K28" i="74" s="1"/>
  <c r="F111" i="73"/>
  <c r="D87" i="73"/>
  <c r="K82" i="73"/>
  <c r="Y82" i="73" s="1"/>
  <c r="Z82" i="73" s="1"/>
  <c r="K66" i="73"/>
  <c r="Y66" i="73" s="1"/>
  <c r="Z66" i="73" s="1"/>
  <c r="D84" i="73"/>
  <c r="K72" i="73"/>
  <c r="Y72" i="73" s="1"/>
  <c r="Z72" i="73" s="1"/>
  <c r="K67" i="73"/>
  <c r="Y67" i="73" s="1"/>
  <c r="Z67" i="73" s="1"/>
  <c r="Q59" i="73"/>
  <c r="D79" i="73"/>
  <c r="D77" i="73"/>
  <c r="K71" i="73"/>
  <c r="Y71" i="73" s="1"/>
  <c r="Z71" i="73" s="1"/>
  <c r="K68" i="73"/>
  <c r="Y68" i="73" s="1"/>
  <c r="Z68" i="73" s="1"/>
  <c r="K60" i="73"/>
  <c r="Y60" i="73" s="1"/>
  <c r="Z60" i="73" s="1"/>
  <c r="P59" i="73"/>
  <c r="K69" i="73"/>
  <c r="Y69" i="73" s="1"/>
  <c r="Z69" i="73" s="1"/>
  <c r="D86" i="73"/>
  <c r="K83" i="73"/>
  <c r="Y83" i="73" s="1"/>
  <c r="Z83" i="73" s="1"/>
  <c r="D82" i="73"/>
  <c r="D105" i="73" s="1"/>
  <c r="K78" i="73"/>
  <c r="Y78" i="73" s="1"/>
  <c r="Z78" i="73" s="1"/>
  <c r="K76" i="73"/>
  <c r="Y76" i="73" s="1"/>
  <c r="Z76" i="73" s="1"/>
  <c r="K61" i="73"/>
  <c r="Y61" i="73" s="1"/>
  <c r="Z61" i="73" s="1"/>
  <c r="D59" i="73"/>
  <c r="K70" i="73"/>
  <c r="Y70" i="73" s="1"/>
  <c r="Z70" i="73" s="1"/>
  <c r="K62" i="73"/>
  <c r="Y62" i="73" s="1"/>
  <c r="Z62" i="73" s="1"/>
  <c r="D88" i="73"/>
  <c r="D85" i="73"/>
  <c r="D83" i="73"/>
  <c r="K75" i="73"/>
  <c r="Y75" i="73" s="1"/>
  <c r="Z75" i="73" s="1"/>
  <c r="K88" i="73"/>
  <c r="Y88" i="73" s="1"/>
  <c r="Z88" i="73" s="1"/>
  <c r="D80" i="73"/>
  <c r="D71" i="73"/>
  <c r="D104" i="73" s="1"/>
  <c r="K63" i="73"/>
  <c r="Y63" i="73" s="1"/>
  <c r="Z63" i="73" s="1"/>
  <c r="D78" i="73"/>
  <c r="D76" i="73"/>
  <c r="K64" i="73"/>
  <c r="Y64" i="73" s="1"/>
  <c r="Z64" i="73" s="1"/>
  <c r="K87" i="73"/>
  <c r="Y87" i="73" s="1"/>
  <c r="Z87" i="73" s="1"/>
  <c r="K74" i="73"/>
  <c r="Y74" i="73" s="1"/>
  <c r="Z74" i="73" s="1"/>
  <c r="K65" i="73"/>
  <c r="Y65" i="73" s="1"/>
  <c r="Z65" i="73" s="1"/>
  <c r="K84" i="73"/>
  <c r="Y84" i="73" s="1"/>
  <c r="Z84" i="73" s="1"/>
  <c r="D81" i="73"/>
  <c r="K73" i="73"/>
  <c r="Y73" i="73" s="1"/>
  <c r="Z73" i="73" s="1"/>
  <c r="K77" i="73"/>
  <c r="Y77" i="73" s="1"/>
  <c r="Z77" i="73" s="1"/>
  <c r="K80" i="73"/>
  <c r="Y80" i="73" s="1"/>
  <c r="Z80" i="73" s="1"/>
  <c r="H82" i="73"/>
  <c r="H105" i="73" s="1"/>
  <c r="K79" i="73"/>
  <c r="Y79" i="73" s="1"/>
  <c r="Z79" i="73" s="1"/>
  <c r="G117" i="60"/>
  <c r="J12" i="74" l="1"/>
  <c r="J13" i="74" s="1"/>
  <c r="J14" i="74" s="1"/>
  <c r="J15" i="74" s="1"/>
  <c r="J16" i="74" s="1"/>
  <c r="J17" i="74" s="1"/>
  <c r="J18" i="74" s="1"/>
  <c r="J19" i="74" s="1"/>
  <c r="J20" i="74" s="1"/>
  <c r="J21" i="74" s="1"/>
  <c r="J22" i="74" s="1"/>
  <c r="K27" i="74"/>
  <c r="E111" i="73"/>
  <c r="D111" i="73"/>
  <c r="F47" i="39"/>
  <c r="G49" i="39"/>
  <c r="F10" i="39" l="1"/>
  <c r="N22" i="59"/>
  <c r="N13" i="59"/>
  <c r="G133" i="60"/>
  <c r="G136" i="60"/>
  <c r="I71" i="60"/>
  <c r="D78" i="60"/>
  <c r="G217" i="2" l="1"/>
  <c r="E149" i="60" l="1"/>
  <c r="J125" i="60"/>
  <c r="G130" i="60"/>
  <c r="J126" i="60"/>
  <c r="J129" i="60" s="1"/>
  <c r="F125" i="60"/>
  <c r="J127" i="60"/>
  <c r="H96" i="60"/>
  <c r="D96" i="60"/>
  <c r="G131" i="60"/>
  <c r="I73" i="60"/>
  <c r="E150" i="60"/>
  <c r="H125" i="60"/>
  <c r="L82" i="60"/>
  <c r="L81" i="60"/>
  <c r="L76" i="60"/>
  <c r="I81" i="60"/>
  <c r="I77" i="60"/>
  <c r="L84" i="60"/>
  <c r="I83" i="60"/>
  <c r="L83" i="60"/>
  <c r="L77" i="60"/>
  <c r="I82" i="60"/>
  <c r="L80" i="60"/>
  <c r="I80" i="60"/>
  <c r="I76" i="60"/>
  <c r="L79" i="60"/>
  <c r="I79" i="60"/>
  <c r="I78" i="60"/>
  <c r="L85" i="60"/>
  <c r="L78" i="60"/>
  <c r="L86" i="60"/>
  <c r="E151" i="60"/>
  <c r="F105" i="60"/>
  <c r="G105" i="60"/>
  <c r="O105" i="60"/>
  <c r="P105" i="60"/>
  <c r="Q105" i="60"/>
  <c r="S105" i="60"/>
  <c r="I74" i="60"/>
  <c r="I75" i="60"/>
  <c r="I72" i="60"/>
  <c r="H101" i="60"/>
  <c r="H100" i="60"/>
  <c r="H99" i="60"/>
  <c r="H98" i="60"/>
  <c r="E127" i="60"/>
  <c r="E128" i="60"/>
  <c r="E126" i="60"/>
  <c r="C13" i="65"/>
  <c r="E13" i="65"/>
  <c r="C28" i="4"/>
  <c r="C16" i="3" s="1"/>
  <c r="C27" i="4"/>
  <c r="C15" i="3" s="1"/>
  <c r="D16" i="3"/>
  <c r="E34" i="23"/>
  <c r="H1" i="3"/>
  <c r="H2" i="3" s="1"/>
  <c r="C113" i="4"/>
  <c r="G16" i="3"/>
  <c r="H16" i="3" s="1"/>
  <c r="C112" i="4"/>
  <c r="G15" i="3"/>
  <c r="C29" i="4"/>
  <c r="C17" i="3"/>
  <c r="D17" i="3" s="1"/>
  <c r="C114" i="4"/>
  <c r="G17" i="3" s="1"/>
  <c r="H17" i="3"/>
  <c r="C30" i="4"/>
  <c r="C18" i="3"/>
  <c r="C115" i="4"/>
  <c r="G18" i="3" s="1"/>
  <c r="C31" i="4"/>
  <c r="C19" i="3"/>
  <c r="D19" i="3" s="1"/>
  <c r="C116" i="4"/>
  <c r="G19" i="3" s="1"/>
  <c r="C12" i="65"/>
  <c r="E12" i="65"/>
  <c r="O9" i="2"/>
  <c r="X9" i="2"/>
  <c r="Y9" i="2" s="1"/>
  <c r="Q12" i="65"/>
  <c r="P12" i="65" s="1"/>
  <c r="O10" i="2"/>
  <c r="X10" i="2" s="1"/>
  <c r="Y10" i="2"/>
  <c r="Q13" i="65" s="1"/>
  <c r="P13" i="65" s="1"/>
  <c r="H13" i="65"/>
  <c r="H12" i="65"/>
  <c r="M12" i="65"/>
  <c r="N12" i="65" s="1"/>
  <c r="C10" i="65"/>
  <c r="E10" i="65"/>
  <c r="C9" i="65"/>
  <c r="E9" i="65"/>
  <c r="AC6" i="2"/>
  <c r="F9" i="65" s="1"/>
  <c r="O6" i="2"/>
  <c r="X6" i="2" s="1"/>
  <c r="Y6" i="2" s="1"/>
  <c r="Q9" i="65" s="1"/>
  <c r="P9" i="65" s="1"/>
  <c r="O7" i="2"/>
  <c r="X7" i="2"/>
  <c r="Y7" i="2" s="1"/>
  <c r="Q10" i="65" s="1"/>
  <c r="P10" i="65" s="1"/>
  <c r="H10" i="65"/>
  <c r="H9" i="65"/>
  <c r="C11" i="65"/>
  <c r="E11" i="65"/>
  <c r="O8" i="2"/>
  <c r="X8" i="2"/>
  <c r="Y8" i="2" s="1"/>
  <c r="Q11" i="65" s="1"/>
  <c r="P11" i="65" s="1"/>
  <c r="H11" i="65"/>
  <c r="M11" i="65" s="1"/>
  <c r="C14" i="65"/>
  <c r="E14" i="65"/>
  <c r="C32" i="4"/>
  <c r="C20" i="3" s="1"/>
  <c r="D20" i="3" s="1"/>
  <c r="C117" i="4"/>
  <c r="G20" i="3"/>
  <c r="O11" i="2"/>
  <c r="X11" i="2" s="1"/>
  <c r="Y11" i="2"/>
  <c r="Q14" i="65" s="1"/>
  <c r="P14" i="65" s="1"/>
  <c r="H14" i="65"/>
  <c r="C15" i="65"/>
  <c r="E15" i="65"/>
  <c r="C33" i="4"/>
  <c r="C21" i="3" s="1"/>
  <c r="D21" i="3" s="1"/>
  <c r="M21" i="3" s="1"/>
  <c r="C118" i="4"/>
  <c r="G21" i="3"/>
  <c r="H21" i="3" s="1"/>
  <c r="O12" i="2"/>
  <c r="X12" i="2" s="1"/>
  <c r="Y12" i="2"/>
  <c r="Q15" i="65" s="1"/>
  <c r="P15" i="65" s="1"/>
  <c r="G12" i="2"/>
  <c r="H15" i="65"/>
  <c r="C16" i="65"/>
  <c r="E16" i="65"/>
  <c r="C34" i="4"/>
  <c r="C22" i="3"/>
  <c r="D22" i="3" s="1"/>
  <c r="C119" i="4"/>
  <c r="G22" i="3" s="1"/>
  <c r="H22" i="3"/>
  <c r="O13" i="2"/>
  <c r="X13" i="2"/>
  <c r="Y13" i="2" s="1"/>
  <c r="Q16" i="65"/>
  <c r="P16" i="65" s="1"/>
  <c r="G13" i="2"/>
  <c r="H16" i="65" s="1"/>
  <c r="M16" i="65" s="1"/>
  <c r="C17" i="65"/>
  <c r="E17" i="65"/>
  <c r="C35" i="4"/>
  <c r="C23" i="3" s="1"/>
  <c r="D23" i="3"/>
  <c r="C120" i="4"/>
  <c r="G23" i="3"/>
  <c r="H23" i="3" s="1"/>
  <c r="O14" i="2"/>
  <c r="X14" i="2" s="1"/>
  <c r="Y14" i="2" s="1"/>
  <c r="H17" i="65"/>
  <c r="C18" i="65"/>
  <c r="E18" i="65"/>
  <c r="C36" i="4"/>
  <c r="C24" i="3" s="1"/>
  <c r="D24" i="3"/>
  <c r="C121" i="4"/>
  <c r="G24" i="3"/>
  <c r="H24" i="3" s="1"/>
  <c r="O15" i="2"/>
  <c r="X15" i="2" s="1"/>
  <c r="Y15" i="2" s="1"/>
  <c r="Q18" i="65" s="1"/>
  <c r="P18" i="65" s="1"/>
  <c r="H18" i="65"/>
  <c r="C19" i="65"/>
  <c r="E19" i="65"/>
  <c r="C37" i="4"/>
  <c r="C25" i="3" s="1"/>
  <c r="D25" i="3"/>
  <c r="C122" i="4"/>
  <c r="G25" i="3"/>
  <c r="O16" i="2"/>
  <c r="X16" i="2" s="1"/>
  <c r="Y16" i="2" s="1"/>
  <c r="Q19" i="65" s="1"/>
  <c r="P19" i="65" s="1"/>
  <c r="H19" i="65"/>
  <c r="C20" i="65"/>
  <c r="D20" i="65" s="1"/>
  <c r="E20" i="65"/>
  <c r="C38" i="4"/>
  <c r="C26" i="3" s="1"/>
  <c r="D26" i="3"/>
  <c r="C123" i="4"/>
  <c r="G26" i="3"/>
  <c r="H26" i="3" s="1"/>
  <c r="O17" i="2"/>
  <c r="X17" i="2" s="1"/>
  <c r="Y17" i="2" s="1"/>
  <c r="Q20" i="65" s="1"/>
  <c r="P20" i="65" s="1"/>
  <c r="H20" i="65"/>
  <c r="M20" i="65"/>
  <c r="C21" i="65"/>
  <c r="E21" i="65"/>
  <c r="C39" i="4"/>
  <c r="C27" i="3" s="1"/>
  <c r="D27" i="3"/>
  <c r="C124" i="4"/>
  <c r="G27" i="3"/>
  <c r="L18" i="2"/>
  <c r="O18" i="2" s="1"/>
  <c r="X18" i="2" s="1"/>
  <c r="Y18" i="2" s="1"/>
  <c r="Q21" i="65"/>
  <c r="P21" i="65" s="1"/>
  <c r="H21" i="65"/>
  <c r="D129" i="60"/>
  <c r="D137" i="60" s="1"/>
  <c r="E129" i="60"/>
  <c r="E130" i="60" s="1"/>
  <c r="D9" i="60"/>
  <c r="F106" i="60"/>
  <c r="F104" i="60"/>
  <c r="V136" i="60"/>
  <c r="V130" i="60"/>
  <c r="W130" i="60"/>
  <c r="X12" i="60"/>
  <c r="X13" i="60"/>
  <c r="X14" i="60"/>
  <c r="X15" i="60"/>
  <c r="X16" i="60"/>
  <c r="X17" i="60"/>
  <c r="X18" i="60"/>
  <c r="X19" i="60"/>
  <c r="X20" i="60"/>
  <c r="X21" i="60"/>
  <c r="X22" i="60"/>
  <c r="X23" i="60"/>
  <c r="X24" i="60"/>
  <c r="X25" i="60"/>
  <c r="X26" i="60"/>
  <c r="X27" i="60"/>
  <c r="X28" i="60"/>
  <c r="X29" i="60"/>
  <c r="X30" i="60"/>
  <c r="X31" i="60"/>
  <c r="X32" i="60"/>
  <c r="X33" i="60"/>
  <c r="X34" i="60"/>
  <c r="X35" i="60"/>
  <c r="X36" i="60"/>
  <c r="X37" i="60"/>
  <c r="X38" i="60"/>
  <c r="X39" i="60"/>
  <c r="X40" i="60"/>
  <c r="X41" i="60"/>
  <c r="X42" i="60"/>
  <c r="X43" i="60"/>
  <c r="X44" i="60"/>
  <c r="X45" i="60"/>
  <c r="X46" i="60"/>
  <c r="X47" i="60"/>
  <c r="X48" i="60"/>
  <c r="X49" i="60"/>
  <c r="X50" i="60"/>
  <c r="X51" i="60"/>
  <c r="X52" i="60"/>
  <c r="X53" i="60"/>
  <c r="X54" i="60"/>
  <c r="X55" i="60"/>
  <c r="X56" i="60"/>
  <c r="X57" i="60"/>
  <c r="X58" i="60"/>
  <c r="X59" i="60"/>
  <c r="X60" i="60"/>
  <c r="X61" i="60"/>
  <c r="X62" i="60"/>
  <c r="X63" i="60"/>
  <c r="X64" i="60"/>
  <c r="X65" i="60"/>
  <c r="X66" i="60"/>
  <c r="X67" i="60"/>
  <c r="X68" i="60"/>
  <c r="X69" i="60"/>
  <c r="X70" i="60"/>
  <c r="X71" i="60"/>
  <c r="X72" i="60"/>
  <c r="X73" i="60"/>
  <c r="X74" i="60"/>
  <c r="X75" i="60"/>
  <c r="X76" i="60"/>
  <c r="X77" i="60"/>
  <c r="X78" i="60"/>
  <c r="X79" i="60"/>
  <c r="X80" i="60"/>
  <c r="X81" i="60"/>
  <c r="X82" i="60"/>
  <c r="X83" i="60"/>
  <c r="X84" i="60"/>
  <c r="X85" i="60"/>
  <c r="X86" i="60"/>
  <c r="X87" i="60"/>
  <c r="X88" i="60"/>
  <c r="X89" i="60"/>
  <c r="X90" i="60"/>
  <c r="X91" i="60"/>
  <c r="X92" i="60"/>
  <c r="X93" i="60"/>
  <c r="X94" i="60"/>
  <c r="X95" i="60"/>
  <c r="X96" i="60"/>
  <c r="X97" i="60"/>
  <c r="X98" i="60"/>
  <c r="X99" i="60"/>
  <c r="X100" i="60"/>
  <c r="X101" i="60"/>
  <c r="X11" i="60"/>
  <c r="AF121" i="60"/>
  <c r="K34" i="39"/>
  <c r="N34" i="39" s="1"/>
  <c r="K35" i="39"/>
  <c r="K36" i="39"/>
  <c r="K37" i="39"/>
  <c r="K38" i="39"/>
  <c r="N38" i="39" s="1"/>
  <c r="K39" i="39"/>
  <c r="K40" i="39"/>
  <c r="K41" i="39"/>
  <c r="K42" i="39"/>
  <c r="N42" i="39" s="1"/>
  <c r="K43" i="39"/>
  <c r="K44" i="39"/>
  <c r="K45" i="39"/>
  <c r="K46" i="39"/>
  <c r="N46" i="39" s="1"/>
  <c r="K47" i="39"/>
  <c r="K48" i="39"/>
  <c r="K49" i="39"/>
  <c r="K50" i="39"/>
  <c r="N50" i="39" s="1"/>
  <c r="K51" i="39"/>
  <c r="K52" i="39"/>
  <c r="R79" i="60"/>
  <c r="R80" i="60"/>
  <c r="R81" i="60"/>
  <c r="R82" i="60"/>
  <c r="R105" i="60"/>
  <c r="R83" i="60"/>
  <c r="R84" i="60"/>
  <c r="R85" i="60"/>
  <c r="R86" i="60"/>
  <c r="R87" i="60"/>
  <c r="R88" i="60"/>
  <c r="O104" i="60"/>
  <c r="R89" i="60"/>
  <c r="V127" i="60"/>
  <c r="V124" i="60"/>
  <c r="W124" i="60"/>
  <c r="V123" i="60"/>
  <c r="W123" i="60" s="1"/>
  <c r="V122" i="60"/>
  <c r="W122" i="60"/>
  <c r="V121" i="60"/>
  <c r="W121" i="60" s="1"/>
  <c r="V114" i="60"/>
  <c r="V115" i="60"/>
  <c r="V117" i="60"/>
  <c r="V118" i="60"/>
  <c r="V116" i="60"/>
  <c r="U110" i="60"/>
  <c r="U111" i="60"/>
  <c r="K17" i="39"/>
  <c r="N17" i="39" s="1"/>
  <c r="M17" i="39"/>
  <c r="M18" i="39"/>
  <c r="M19" i="39"/>
  <c r="P69" i="39" s="1"/>
  <c r="M20" i="39"/>
  <c r="M21" i="39"/>
  <c r="M22" i="39"/>
  <c r="M23" i="39"/>
  <c r="P36" i="39" s="1"/>
  <c r="M24" i="39"/>
  <c r="M25" i="39"/>
  <c r="M26" i="39"/>
  <c r="M27" i="39"/>
  <c r="P40" i="39" s="1"/>
  <c r="M28" i="39"/>
  <c r="M29" i="39"/>
  <c r="M30" i="39"/>
  <c r="M31" i="39"/>
  <c r="N31" i="39" s="1"/>
  <c r="M32" i="39"/>
  <c r="M33" i="39"/>
  <c r="M34" i="39"/>
  <c r="M35" i="39"/>
  <c r="N35" i="39" s="1"/>
  <c r="M36" i="39"/>
  <c r="M37" i="39"/>
  <c r="M38" i="39"/>
  <c r="M39" i="39"/>
  <c r="N39" i="39" s="1"/>
  <c r="M40" i="39"/>
  <c r="M41" i="39"/>
  <c r="M42" i="39"/>
  <c r="M43" i="39"/>
  <c r="N43" i="39" s="1"/>
  <c r="M44" i="39"/>
  <c r="M45" i="39"/>
  <c r="M46" i="39"/>
  <c r="M47" i="39"/>
  <c r="N47" i="39" s="1"/>
  <c r="M48" i="39"/>
  <c r="M49" i="39"/>
  <c r="M50" i="39"/>
  <c r="M51" i="39"/>
  <c r="N51" i="39" s="1"/>
  <c r="M52" i="39"/>
  <c r="M53" i="39"/>
  <c r="M54" i="39"/>
  <c r="M55" i="39"/>
  <c r="P68" i="39" s="1"/>
  <c r="M56" i="39"/>
  <c r="M57" i="39"/>
  <c r="M58" i="39"/>
  <c r="M59" i="39"/>
  <c r="P72" i="39" s="1"/>
  <c r="M60" i="39"/>
  <c r="M61" i="39"/>
  <c r="M62" i="39"/>
  <c r="M63" i="39"/>
  <c r="P76" i="39" s="1"/>
  <c r="M64" i="39"/>
  <c r="M65" i="39"/>
  <c r="D10" i="65"/>
  <c r="D13" i="65"/>
  <c r="D11" i="65"/>
  <c r="D12" i="65"/>
  <c r="D21" i="65"/>
  <c r="H25" i="65"/>
  <c r="H26" i="65"/>
  <c r="W57" i="61"/>
  <c r="F57" i="61" s="1"/>
  <c r="U60" i="60" s="1"/>
  <c r="M21" i="61"/>
  <c r="U21" i="61" s="1"/>
  <c r="M37" i="61"/>
  <c r="U37" i="61"/>
  <c r="M52" i="61"/>
  <c r="U52" i="61" s="1"/>
  <c r="M56" i="61"/>
  <c r="U56" i="61"/>
  <c r="M60" i="61"/>
  <c r="U60" i="61" s="1"/>
  <c r="M64" i="61"/>
  <c r="U64" i="61"/>
  <c r="M68" i="61"/>
  <c r="U68" i="61" s="1"/>
  <c r="M72" i="61"/>
  <c r="U72" i="61"/>
  <c r="M76" i="61"/>
  <c r="U76" i="61" s="1"/>
  <c r="M80" i="61"/>
  <c r="U80" i="61"/>
  <c r="M84" i="61"/>
  <c r="U84" i="61" s="1"/>
  <c r="M88" i="61"/>
  <c r="U88" i="61"/>
  <c r="M92" i="61"/>
  <c r="U92" i="61" s="1"/>
  <c r="M96" i="61"/>
  <c r="U96" i="61"/>
  <c r="M98" i="61"/>
  <c r="U98" i="61" s="1"/>
  <c r="M97" i="61"/>
  <c r="U97" i="61"/>
  <c r="M95" i="61"/>
  <c r="U95" i="61" s="1"/>
  <c r="M94" i="61"/>
  <c r="U94" i="61"/>
  <c r="M93" i="61"/>
  <c r="U93" i="61" s="1"/>
  <c r="M91" i="61"/>
  <c r="U91" i="61"/>
  <c r="M90" i="61"/>
  <c r="U90" i="61" s="1"/>
  <c r="M89" i="61"/>
  <c r="U89" i="61"/>
  <c r="M87" i="61"/>
  <c r="U87" i="61" s="1"/>
  <c r="M86" i="61"/>
  <c r="U86" i="61"/>
  <c r="M85" i="61"/>
  <c r="U85" i="61" s="1"/>
  <c r="M83" i="61"/>
  <c r="U83" i="61"/>
  <c r="M82" i="61"/>
  <c r="U82" i="61" s="1"/>
  <c r="M81" i="61"/>
  <c r="U81" i="61"/>
  <c r="M79" i="61"/>
  <c r="U79" i="61" s="1"/>
  <c r="M78" i="61"/>
  <c r="U78" i="61"/>
  <c r="M77" i="61"/>
  <c r="U77" i="61" s="1"/>
  <c r="M75" i="61"/>
  <c r="U75" i="61"/>
  <c r="M74" i="61"/>
  <c r="U74" i="61" s="1"/>
  <c r="M73" i="61"/>
  <c r="U73" i="61"/>
  <c r="M71" i="61"/>
  <c r="U71" i="61" s="1"/>
  <c r="M70" i="61"/>
  <c r="U70" i="61"/>
  <c r="M69" i="61"/>
  <c r="U69" i="61" s="1"/>
  <c r="M67" i="61"/>
  <c r="U67" i="61"/>
  <c r="M66" i="61"/>
  <c r="U66" i="61" s="1"/>
  <c r="M65" i="61"/>
  <c r="U65" i="61"/>
  <c r="M63" i="61"/>
  <c r="U63" i="61" s="1"/>
  <c r="M62" i="61"/>
  <c r="U62" i="61"/>
  <c r="M61" i="61"/>
  <c r="U61" i="61" s="1"/>
  <c r="M59" i="61"/>
  <c r="U59" i="61"/>
  <c r="M58" i="61"/>
  <c r="U58" i="61" s="1"/>
  <c r="M57" i="61"/>
  <c r="U57" i="61"/>
  <c r="M55" i="61"/>
  <c r="U55" i="61" s="1"/>
  <c r="M54" i="61"/>
  <c r="U54" i="61"/>
  <c r="M53" i="61"/>
  <c r="U53" i="61" s="1"/>
  <c r="M51" i="61"/>
  <c r="U51" i="61"/>
  <c r="M50" i="61"/>
  <c r="U50" i="61" s="1"/>
  <c r="M49" i="61"/>
  <c r="U49" i="61"/>
  <c r="M48" i="61"/>
  <c r="U48" i="61" s="1"/>
  <c r="M47" i="61"/>
  <c r="U47" i="61"/>
  <c r="M46" i="61"/>
  <c r="U46" i="61" s="1"/>
  <c r="M45" i="61"/>
  <c r="U45" i="61"/>
  <c r="M44" i="61"/>
  <c r="U44" i="61" s="1"/>
  <c r="M43" i="61"/>
  <c r="U43" i="61"/>
  <c r="M42" i="61"/>
  <c r="U42" i="61" s="1"/>
  <c r="M41" i="61"/>
  <c r="U41" i="61"/>
  <c r="M40" i="61"/>
  <c r="U40" i="61" s="1"/>
  <c r="M39" i="61"/>
  <c r="U39" i="61"/>
  <c r="M38" i="61"/>
  <c r="U38" i="61" s="1"/>
  <c r="M36" i="61"/>
  <c r="U36" i="61"/>
  <c r="M35" i="61"/>
  <c r="U35" i="61" s="1"/>
  <c r="M34" i="61"/>
  <c r="U34" i="61"/>
  <c r="M33" i="61"/>
  <c r="U33" i="61" s="1"/>
  <c r="M32" i="61"/>
  <c r="U32" i="61"/>
  <c r="M31" i="61"/>
  <c r="U31" i="61" s="1"/>
  <c r="M30" i="61"/>
  <c r="U30" i="61"/>
  <c r="M29" i="61"/>
  <c r="U29" i="61" s="1"/>
  <c r="M28" i="61"/>
  <c r="U28" i="61"/>
  <c r="M27" i="61"/>
  <c r="U27" i="61" s="1"/>
  <c r="M26" i="61"/>
  <c r="U26" i="61"/>
  <c r="M25" i="61"/>
  <c r="U25" i="61" s="1"/>
  <c r="M24" i="61"/>
  <c r="U24" i="61"/>
  <c r="M23" i="61"/>
  <c r="U23" i="61" s="1"/>
  <c r="M22" i="61"/>
  <c r="U22" i="61"/>
  <c r="M20" i="61"/>
  <c r="U20" i="61" s="1"/>
  <c r="M19" i="61"/>
  <c r="U19" i="61"/>
  <c r="M18" i="61"/>
  <c r="U18" i="61" s="1"/>
  <c r="M17" i="61"/>
  <c r="U17" i="61"/>
  <c r="M16" i="61"/>
  <c r="U16" i="61" s="1"/>
  <c r="M15" i="61"/>
  <c r="U15" i="61"/>
  <c r="M14" i="61"/>
  <c r="U14" i="61" s="1"/>
  <c r="M13" i="61"/>
  <c r="U13" i="61"/>
  <c r="M12" i="61"/>
  <c r="U12" i="61" s="1"/>
  <c r="M11" i="61"/>
  <c r="U11" i="61"/>
  <c r="M10" i="61"/>
  <c r="U10" i="61" s="1"/>
  <c r="M9" i="61"/>
  <c r="U9" i="61"/>
  <c r="O46" i="61"/>
  <c r="O47" i="61"/>
  <c r="O48" i="61"/>
  <c r="P49" i="61" s="1"/>
  <c r="S49" i="61" s="1"/>
  <c r="V49" i="61" s="1"/>
  <c r="R48" i="61"/>
  <c r="O49" i="61"/>
  <c r="O50" i="61"/>
  <c r="O51" i="61"/>
  <c r="O52" i="61"/>
  <c r="R52" i="61"/>
  <c r="O53" i="61"/>
  <c r="O54" i="61"/>
  <c r="P55" i="61" s="1"/>
  <c r="S55" i="61" s="1"/>
  <c r="O55" i="61"/>
  <c r="O56" i="61"/>
  <c r="R56" i="61"/>
  <c r="O57" i="61"/>
  <c r="P57" i="61" s="1"/>
  <c r="S57" i="61" s="1"/>
  <c r="V57" i="61" s="1"/>
  <c r="W56" i="61" s="1"/>
  <c r="X57" i="61" s="1"/>
  <c r="O58" i="61"/>
  <c r="O59" i="61"/>
  <c r="O60" i="61"/>
  <c r="R60" i="61"/>
  <c r="O61" i="61"/>
  <c r="O62" i="61"/>
  <c r="O63" i="61"/>
  <c r="O64" i="61"/>
  <c r="R64" i="61"/>
  <c r="O65" i="61"/>
  <c r="O66" i="61"/>
  <c r="O67" i="61"/>
  <c r="P67" i="61" s="1"/>
  <c r="O68" i="61"/>
  <c r="O69" i="61"/>
  <c r="O70" i="61"/>
  <c r="O71" i="61"/>
  <c r="O72" i="61"/>
  <c r="R72" i="61"/>
  <c r="O73" i="61"/>
  <c r="O74" i="61"/>
  <c r="P74" i="61" s="1"/>
  <c r="S74" i="61" s="1"/>
  <c r="V74" i="61" s="1"/>
  <c r="O75" i="61"/>
  <c r="O76" i="61"/>
  <c r="R76" i="61"/>
  <c r="O77" i="61"/>
  <c r="P77" i="61" s="1"/>
  <c r="O78" i="61"/>
  <c r="O79" i="61"/>
  <c r="P80" i="61" s="1"/>
  <c r="O80" i="61"/>
  <c r="O81" i="61"/>
  <c r="P81" i="61" s="1"/>
  <c r="S81" i="61" s="1"/>
  <c r="V81" i="61" s="1"/>
  <c r="O82" i="61"/>
  <c r="O83" i="61"/>
  <c r="O84" i="61"/>
  <c r="P84" i="61"/>
  <c r="S84" i="61" s="1"/>
  <c r="O85" i="61"/>
  <c r="P85" i="61" s="1"/>
  <c r="O86" i="61"/>
  <c r="O87" i="61"/>
  <c r="O88" i="61"/>
  <c r="P88" i="61" s="1"/>
  <c r="S88" i="61" s="1"/>
  <c r="V88" i="61" s="1"/>
  <c r="O89" i="61"/>
  <c r="O90" i="61"/>
  <c r="O91" i="61"/>
  <c r="O92" i="61"/>
  <c r="O93" i="61"/>
  <c r="O94" i="61"/>
  <c r="O95" i="61"/>
  <c r="P96" i="61" s="1"/>
  <c r="O96" i="61"/>
  <c r="R96" i="61"/>
  <c r="O97" i="61"/>
  <c r="O98" i="61"/>
  <c r="P98" i="61" s="1"/>
  <c r="S98" i="61" s="1"/>
  <c r="O45" i="61"/>
  <c r="D19" i="63"/>
  <c r="D23" i="63"/>
  <c r="D27" i="63"/>
  <c r="D31" i="63" s="1"/>
  <c r="D35" i="63" s="1"/>
  <c r="D39" i="63" s="1"/>
  <c r="D43" i="63" s="1"/>
  <c r="D47" i="63" s="1"/>
  <c r="D51" i="63" s="1"/>
  <c r="D55" i="63" s="1"/>
  <c r="D59" i="63" s="1"/>
  <c r="D63" i="63" s="1"/>
  <c r="D67" i="63" s="1"/>
  <c r="D71" i="63" s="1"/>
  <c r="D75" i="63" s="1"/>
  <c r="D79" i="63" s="1"/>
  <c r="D83" i="63" s="1"/>
  <c r="D87" i="63" s="1"/>
  <c r="D91" i="63" s="1"/>
  <c r="D95" i="63" s="1"/>
  <c r="D99" i="63" s="1"/>
  <c r="D103" i="63" s="1"/>
  <c r="D107" i="63" s="1"/>
  <c r="D111" i="63" s="1"/>
  <c r="D115" i="63" s="1"/>
  <c r="D119" i="63" s="1"/>
  <c r="D123" i="63" s="1"/>
  <c r="D127" i="63" s="1"/>
  <c r="D131" i="63" s="1"/>
  <c r="D135" i="63" s="1"/>
  <c r="D139" i="63" s="1"/>
  <c r="D143" i="63" s="1"/>
  <c r="D147" i="63" s="1"/>
  <c r="D151" i="63" s="1"/>
  <c r="D155" i="63" s="1"/>
  <c r="D159" i="63" s="1"/>
  <c r="D163" i="63" s="1"/>
  <c r="D167" i="63" s="1"/>
  <c r="D171" i="63" s="1"/>
  <c r="D175" i="63" s="1"/>
  <c r="D179" i="63" s="1"/>
  <c r="D183" i="63" s="1"/>
  <c r="D187" i="63" s="1"/>
  <c r="D191" i="63" s="1"/>
  <c r="D195" i="63" s="1"/>
  <c r="D199" i="63" s="1"/>
  <c r="D203" i="63" s="1"/>
  <c r="D207" i="63" s="1"/>
  <c r="D211" i="63" s="1"/>
  <c r="D215" i="63" s="1"/>
  <c r="D219" i="63" s="1"/>
  <c r="D223" i="63" s="1"/>
  <c r="D227" i="63" s="1"/>
  <c r="C227" i="63"/>
  <c r="C223" i="63"/>
  <c r="C219" i="63"/>
  <c r="C215" i="63"/>
  <c r="C211" i="63"/>
  <c r="C207" i="63"/>
  <c r="C203" i="63"/>
  <c r="C199" i="63"/>
  <c r="C195" i="63"/>
  <c r="C191" i="63"/>
  <c r="C187" i="63"/>
  <c r="C183" i="63"/>
  <c r="C179" i="63"/>
  <c r="C175" i="63"/>
  <c r="C171" i="63"/>
  <c r="C167" i="63"/>
  <c r="C163" i="63"/>
  <c r="C159" i="63"/>
  <c r="C155" i="63"/>
  <c r="C151" i="63"/>
  <c r="C147" i="63"/>
  <c r="C143" i="63"/>
  <c r="C139" i="63"/>
  <c r="C135" i="63"/>
  <c r="C131" i="63"/>
  <c r="C127" i="63"/>
  <c r="C123" i="63"/>
  <c r="C119" i="63"/>
  <c r="C115" i="63"/>
  <c r="C111" i="63"/>
  <c r="C107" i="63"/>
  <c r="C103" i="63"/>
  <c r="C99" i="63"/>
  <c r="C95" i="63"/>
  <c r="C91" i="63"/>
  <c r="C87" i="63"/>
  <c r="C83" i="63"/>
  <c r="C79" i="63"/>
  <c r="C75" i="63"/>
  <c r="C71" i="63"/>
  <c r="C67" i="63"/>
  <c r="C63" i="63"/>
  <c r="C59" i="63"/>
  <c r="C55" i="63"/>
  <c r="C51" i="63"/>
  <c r="C47" i="63"/>
  <c r="C43" i="63"/>
  <c r="C39" i="63"/>
  <c r="C35" i="63"/>
  <c r="C31" i="63"/>
  <c r="C27" i="63"/>
  <c r="C23" i="63"/>
  <c r="C19" i="63"/>
  <c r="C15" i="63"/>
  <c r="R68" i="61"/>
  <c r="R15" i="61"/>
  <c r="R16" i="61"/>
  <c r="R17" i="61"/>
  <c r="R18" i="61"/>
  <c r="R19" i="61"/>
  <c r="R20" i="61"/>
  <c r="R21" i="61"/>
  <c r="R22" i="61"/>
  <c r="R23" i="61"/>
  <c r="R24" i="61"/>
  <c r="R25" i="61"/>
  <c r="R26" i="61"/>
  <c r="R27" i="61"/>
  <c r="R28" i="61"/>
  <c r="R29" i="61"/>
  <c r="R30" i="61"/>
  <c r="R31" i="61"/>
  <c r="R32" i="61"/>
  <c r="R33" i="61"/>
  <c r="R34" i="61"/>
  <c r="R35" i="61"/>
  <c r="R36" i="61"/>
  <c r="R37" i="61"/>
  <c r="R38" i="61"/>
  <c r="R39" i="61"/>
  <c r="R40" i="61"/>
  <c r="R41" i="61"/>
  <c r="R42" i="61"/>
  <c r="R43" i="61"/>
  <c r="R44" i="61"/>
  <c r="R45" i="61"/>
  <c r="R46" i="61"/>
  <c r="R47" i="61"/>
  <c r="R49" i="61"/>
  <c r="R50" i="61"/>
  <c r="R51" i="61"/>
  <c r="R53" i="61"/>
  <c r="R54" i="61"/>
  <c r="R55" i="61"/>
  <c r="R57" i="61"/>
  <c r="R58" i="61"/>
  <c r="R59" i="61"/>
  <c r="R61" i="61"/>
  <c r="R62" i="61"/>
  <c r="R63" i="61"/>
  <c r="R65" i="61"/>
  <c r="R66" i="61"/>
  <c r="R67" i="61"/>
  <c r="R69" i="61"/>
  <c r="R70" i="61"/>
  <c r="R71" i="61"/>
  <c r="R73" i="61"/>
  <c r="R74" i="61"/>
  <c r="R75" i="61"/>
  <c r="R77" i="61"/>
  <c r="R78" i="61"/>
  <c r="R79" i="61"/>
  <c r="R80" i="61"/>
  <c r="R81" i="61"/>
  <c r="R82" i="61"/>
  <c r="R83" i="61"/>
  <c r="R84" i="61"/>
  <c r="R85" i="61"/>
  <c r="R86" i="61"/>
  <c r="R87" i="61"/>
  <c r="R88" i="61"/>
  <c r="R89" i="61"/>
  <c r="R90" i="61"/>
  <c r="R91" i="61"/>
  <c r="R92" i="61"/>
  <c r="R93" i="61"/>
  <c r="R94" i="61"/>
  <c r="R95" i="61"/>
  <c r="R97" i="61"/>
  <c r="R98" i="61"/>
  <c r="R14"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39" i="61"/>
  <c r="B40" i="61"/>
  <c r="B41" i="61"/>
  <c r="B42" i="61"/>
  <c r="B43" i="61"/>
  <c r="B44" i="61"/>
  <c r="B45" i="61"/>
  <c r="B46" i="61"/>
  <c r="B47" i="61"/>
  <c r="B48" i="61"/>
  <c r="B49" i="61"/>
  <c r="B50" i="61"/>
  <c r="B51" i="61"/>
  <c r="B52" i="61"/>
  <c r="B53" i="61"/>
  <c r="B54" i="61"/>
  <c r="B55" i="61"/>
  <c r="B56" i="61"/>
  <c r="I78" i="39"/>
  <c r="C7" i="59"/>
  <c r="E7" i="59"/>
  <c r="G7" i="59" s="1"/>
  <c r="F7" i="59"/>
  <c r="C8" i="59"/>
  <c r="E8" i="59"/>
  <c r="G8" i="59" s="1"/>
  <c r="F8" i="59"/>
  <c r="C9" i="59"/>
  <c r="E9" i="59"/>
  <c r="F9" i="59"/>
  <c r="C10" i="59"/>
  <c r="E10" i="59"/>
  <c r="F10" i="59"/>
  <c r="G10" i="59"/>
  <c r="C11" i="59"/>
  <c r="E11" i="59"/>
  <c r="F11" i="59"/>
  <c r="G11" i="59" s="1"/>
  <c r="C12" i="59"/>
  <c r="E12" i="59"/>
  <c r="G12" i="59" s="1"/>
  <c r="F12" i="59"/>
  <c r="C13" i="59"/>
  <c r="E13" i="59"/>
  <c r="F13" i="59"/>
  <c r="C14" i="59"/>
  <c r="E14" i="59"/>
  <c r="F14" i="59"/>
  <c r="C15" i="59"/>
  <c r="E15" i="59"/>
  <c r="F15" i="59"/>
  <c r="C16" i="59"/>
  <c r="E16" i="59"/>
  <c r="G16" i="59" s="1"/>
  <c r="F16" i="59"/>
  <c r="C17" i="59"/>
  <c r="E17" i="59"/>
  <c r="G17" i="59" s="1"/>
  <c r="F17" i="59"/>
  <c r="C18" i="59"/>
  <c r="E18" i="59"/>
  <c r="G18" i="59" s="1"/>
  <c r="F18" i="59"/>
  <c r="C19" i="59"/>
  <c r="E19" i="59"/>
  <c r="G19" i="59" s="1"/>
  <c r="F19" i="59"/>
  <c r="C20" i="59"/>
  <c r="E20" i="59"/>
  <c r="F20" i="59"/>
  <c r="C21" i="59"/>
  <c r="E21" i="59"/>
  <c r="F21" i="59"/>
  <c r="C22" i="59"/>
  <c r="E22" i="59"/>
  <c r="F22" i="59"/>
  <c r="C23" i="59"/>
  <c r="E23" i="59"/>
  <c r="G23" i="59" s="1"/>
  <c r="F23" i="59"/>
  <c r="C24" i="59"/>
  <c r="E24" i="59"/>
  <c r="F24" i="59"/>
  <c r="C25" i="59"/>
  <c r="E25" i="59"/>
  <c r="F25" i="59"/>
  <c r="G25" i="59"/>
  <c r="C26" i="59"/>
  <c r="E26" i="59"/>
  <c r="F26" i="59"/>
  <c r="G26" i="59"/>
  <c r="C27" i="59"/>
  <c r="E27" i="59"/>
  <c r="F27" i="59"/>
  <c r="C28" i="59"/>
  <c r="E28" i="59"/>
  <c r="F28" i="59"/>
  <c r="C29" i="59"/>
  <c r="E29" i="59"/>
  <c r="F29" i="59"/>
  <c r="C30" i="59"/>
  <c r="E30" i="59"/>
  <c r="F30" i="59"/>
  <c r="C31" i="59"/>
  <c r="E31" i="59"/>
  <c r="F31" i="59"/>
  <c r="G31" i="59" s="1"/>
  <c r="C32" i="59"/>
  <c r="E32" i="59"/>
  <c r="F32" i="59"/>
  <c r="C33" i="59"/>
  <c r="E33" i="59"/>
  <c r="G33" i="59" s="1"/>
  <c r="F33" i="59"/>
  <c r="C34" i="59"/>
  <c r="C6" i="59"/>
  <c r="K14" i="59" s="1"/>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164" i="59"/>
  <c r="C165" i="59"/>
  <c r="C166" i="59"/>
  <c r="C167" i="59"/>
  <c r="C168" i="59"/>
  <c r="C169" i="59"/>
  <c r="C170" i="59"/>
  <c r="C171" i="59"/>
  <c r="C172" i="59"/>
  <c r="C173" i="59"/>
  <c r="C174" i="59"/>
  <c r="E6" i="59"/>
  <c r="E34" i="59"/>
  <c r="E35" i="59"/>
  <c r="E36" i="59"/>
  <c r="G36" i="59" s="1"/>
  <c r="E37" i="59"/>
  <c r="E38" i="59"/>
  <c r="E39" i="59"/>
  <c r="E40" i="59"/>
  <c r="G40" i="59" s="1"/>
  <c r="E41" i="59"/>
  <c r="G41" i="59" s="1"/>
  <c r="E42" i="59"/>
  <c r="E43" i="59"/>
  <c r="E44" i="59"/>
  <c r="E45" i="59"/>
  <c r="G45" i="59" s="1"/>
  <c r="E46" i="59"/>
  <c r="E47" i="59"/>
  <c r="E48" i="59"/>
  <c r="E49" i="59"/>
  <c r="E50" i="59"/>
  <c r="E51" i="59"/>
  <c r="E52" i="59"/>
  <c r="G52" i="59" s="1"/>
  <c r="E53" i="59"/>
  <c r="G53" i="59" s="1"/>
  <c r="E54" i="59"/>
  <c r="E55" i="59"/>
  <c r="E56" i="59"/>
  <c r="G56" i="59" s="1"/>
  <c r="E57" i="59"/>
  <c r="G57" i="59" s="1"/>
  <c r="E58" i="59"/>
  <c r="E59" i="59"/>
  <c r="E60" i="59"/>
  <c r="E61" i="59"/>
  <c r="E62" i="59"/>
  <c r="E63" i="59"/>
  <c r="E64" i="59"/>
  <c r="E65" i="59"/>
  <c r="G65" i="59" s="1"/>
  <c r="E66" i="59"/>
  <c r="E67" i="59"/>
  <c r="E68" i="59"/>
  <c r="G68" i="59" s="1"/>
  <c r="E69" i="59"/>
  <c r="E70" i="59"/>
  <c r="E71" i="59"/>
  <c r="E72" i="59"/>
  <c r="G72" i="59" s="1"/>
  <c r="E73" i="59"/>
  <c r="E74" i="59"/>
  <c r="E75" i="59"/>
  <c r="E76" i="59"/>
  <c r="E77" i="59"/>
  <c r="E78" i="59"/>
  <c r="E79" i="59"/>
  <c r="E80" i="59"/>
  <c r="E81" i="59"/>
  <c r="G81" i="59" s="1"/>
  <c r="E82" i="59"/>
  <c r="E83" i="59"/>
  <c r="E84" i="59"/>
  <c r="G84" i="59" s="1"/>
  <c r="E85" i="59"/>
  <c r="E86" i="59"/>
  <c r="E87" i="59"/>
  <c r="E88" i="59"/>
  <c r="G88" i="59" s="1"/>
  <c r="E89" i="59"/>
  <c r="E90" i="59"/>
  <c r="E91" i="59"/>
  <c r="E92" i="59"/>
  <c r="E93" i="59"/>
  <c r="E94" i="59"/>
  <c r="E95" i="59"/>
  <c r="E96" i="59"/>
  <c r="E97" i="59"/>
  <c r="G97" i="59" s="1"/>
  <c r="E98" i="59"/>
  <c r="E99" i="59"/>
  <c r="E100" i="59"/>
  <c r="E101" i="59"/>
  <c r="E102" i="59"/>
  <c r="E103" i="59"/>
  <c r="E104" i="59"/>
  <c r="E105" i="59"/>
  <c r="G105" i="59" s="1"/>
  <c r="E106" i="59"/>
  <c r="E107" i="59"/>
  <c r="E108" i="59"/>
  <c r="G108" i="59" s="1"/>
  <c r="E109" i="59"/>
  <c r="G109" i="59" s="1"/>
  <c r="E110" i="59"/>
  <c r="E111" i="59"/>
  <c r="E112" i="59"/>
  <c r="E113" i="59"/>
  <c r="E114" i="59"/>
  <c r="E115" i="59"/>
  <c r="E116" i="59"/>
  <c r="E117" i="59"/>
  <c r="G117" i="59" s="1"/>
  <c r="E118" i="59"/>
  <c r="E119" i="59"/>
  <c r="E120" i="59"/>
  <c r="E121" i="59"/>
  <c r="E122" i="59"/>
  <c r="E123" i="59"/>
  <c r="E124" i="59"/>
  <c r="E125" i="59"/>
  <c r="E126" i="59"/>
  <c r="E127" i="59"/>
  <c r="E128" i="59"/>
  <c r="E129" i="59"/>
  <c r="G129" i="59" s="1"/>
  <c r="E130" i="59"/>
  <c r="E131" i="59"/>
  <c r="E132" i="59"/>
  <c r="E133" i="59"/>
  <c r="E134" i="59"/>
  <c r="E135" i="59"/>
  <c r="E136" i="59"/>
  <c r="G136" i="59" s="1"/>
  <c r="E137" i="59"/>
  <c r="E138" i="59"/>
  <c r="E139" i="59"/>
  <c r="E140" i="59"/>
  <c r="E141" i="59"/>
  <c r="G141" i="59" s="1"/>
  <c r="E142" i="59"/>
  <c r="E143" i="59"/>
  <c r="E144" i="59"/>
  <c r="G144" i="59" s="1"/>
  <c r="E145" i="59"/>
  <c r="G145" i="59" s="1"/>
  <c r="E146" i="59"/>
  <c r="E147" i="59"/>
  <c r="E148" i="59"/>
  <c r="E149" i="59"/>
  <c r="E150" i="59"/>
  <c r="E151" i="59"/>
  <c r="E152" i="59"/>
  <c r="E153" i="59"/>
  <c r="G153" i="59" s="1"/>
  <c r="E154" i="59"/>
  <c r="E155" i="59"/>
  <c r="E156" i="59"/>
  <c r="E157" i="59"/>
  <c r="E158" i="59"/>
  <c r="E159" i="59"/>
  <c r="E160" i="59"/>
  <c r="E161" i="59"/>
  <c r="G161" i="59" s="1"/>
  <c r="E162" i="59"/>
  <c r="E163" i="59"/>
  <c r="E164" i="59"/>
  <c r="G164" i="59" s="1"/>
  <c r="E165" i="59"/>
  <c r="G165" i="59" s="1"/>
  <c r="E166" i="59"/>
  <c r="E167" i="59"/>
  <c r="E168" i="59"/>
  <c r="G168" i="59" s="1"/>
  <c r="E169" i="59"/>
  <c r="E170" i="59"/>
  <c r="E171" i="59"/>
  <c r="E172" i="59"/>
  <c r="E173" i="59"/>
  <c r="E174" i="59"/>
  <c r="F34" i="59"/>
  <c r="G34" i="59" s="1"/>
  <c r="F35" i="59"/>
  <c r="F36" i="59"/>
  <c r="F37" i="59"/>
  <c r="F38" i="59"/>
  <c r="G38" i="59" s="1"/>
  <c r="F39" i="59"/>
  <c r="F40" i="59"/>
  <c r="F41" i="59"/>
  <c r="F42" i="59"/>
  <c r="G42" i="59"/>
  <c r="F43" i="59"/>
  <c r="F44" i="59"/>
  <c r="F45" i="59"/>
  <c r="F46" i="59"/>
  <c r="G46" i="59" s="1"/>
  <c r="F47" i="59"/>
  <c r="F48" i="59"/>
  <c r="F49" i="59"/>
  <c r="F50" i="59"/>
  <c r="G50" i="59"/>
  <c r="F51" i="59"/>
  <c r="G51" i="59" s="1"/>
  <c r="F52" i="59"/>
  <c r="F53" i="59"/>
  <c r="F54" i="59"/>
  <c r="G54" i="59"/>
  <c r="F55" i="59"/>
  <c r="F56" i="59"/>
  <c r="F57" i="59"/>
  <c r="F58" i="59"/>
  <c r="G58" i="59" s="1"/>
  <c r="F59" i="59"/>
  <c r="F60" i="59"/>
  <c r="F61" i="59"/>
  <c r="F62" i="59"/>
  <c r="F63" i="59"/>
  <c r="F64" i="59"/>
  <c r="F65" i="59"/>
  <c r="F66" i="59"/>
  <c r="G66" i="59" s="1"/>
  <c r="F67" i="59"/>
  <c r="F68" i="59"/>
  <c r="F69" i="59"/>
  <c r="F70" i="59"/>
  <c r="F71" i="59"/>
  <c r="G71" i="59" s="1"/>
  <c r="F72" i="59"/>
  <c r="F73" i="59"/>
  <c r="F74" i="59"/>
  <c r="F75" i="59"/>
  <c r="F76" i="59"/>
  <c r="F77" i="59"/>
  <c r="F78" i="59"/>
  <c r="G78" i="59"/>
  <c r="F79" i="59"/>
  <c r="G79" i="59" s="1"/>
  <c r="F80" i="59"/>
  <c r="F81" i="59"/>
  <c r="F82" i="59"/>
  <c r="G82" i="59" s="1"/>
  <c r="F83" i="59"/>
  <c r="F84" i="59"/>
  <c r="F85" i="59"/>
  <c r="F86" i="59"/>
  <c r="G86" i="59" s="1"/>
  <c r="F87" i="59"/>
  <c r="F88" i="59"/>
  <c r="F89" i="59"/>
  <c r="F90" i="59"/>
  <c r="G90" i="59" s="1"/>
  <c r="F91" i="59"/>
  <c r="F92" i="59"/>
  <c r="F93" i="59"/>
  <c r="F94" i="59"/>
  <c r="G94" i="59" s="1"/>
  <c r="F95" i="59"/>
  <c r="F96" i="59"/>
  <c r="F97" i="59"/>
  <c r="F98" i="59"/>
  <c r="G98" i="59" s="1"/>
  <c r="F99" i="59"/>
  <c r="F100" i="59"/>
  <c r="F101" i="59"/>
  <c r="F102" i="59"/>
  <c r="F103" i="59"/>
  <c r="F104" i="59"/>
  <c r="F105" i="59"/>
  <c r="F106" i="59"/>
  <c r="G106" i="59"/>
  <c r="F107" i="59"/>
  <c r="F108" i="59"/>
  <c r="F109" i="59"/>
  <c r="F110" i="59"/>
  <c r="G110" i="59" s="1"/>
  <c r="F111" i="59"/>
  <c r="G111" i="59" s="1"/>
  <c r="F112" i="59"/>
  <c r="F113" i="59"/>
  <c r="F114" i="59"/>
  <c r="G114" i="59"/>
  <c r="F115" i="59"/>
  <c r="F116" i="59"/>
  <c r="F117" i="59"/>
  <c r="F118" i="59"/>
  <c r="G118" i="59" s="1"/>
  <c r="F119" i="59"/>
  <c r="F120" i="59"/>
  <c r="F121" i="59"/>
  <c r="F122" i="59"/>
  <c r="G122" i="59" s="1"/>
  <c r="F123" i="59"/>
  <c r="G123" i="59" s="1"/>
  <c r="F124" i="59"/>
  <c r="F125" i="59"/>
  <c r="F126" i="59"/>
  <c r="F127" i="59"/>
  <c r="F128" i="59"/>
  <c r="F129" i="59"/>
  <c r="F130" i="59"/>
  <c r="G130" i="59"/>
  <c r="F131" i="59"/>
  <c r="F132" i="59"/>
  <c r="F133" i="59"/>
  <c r="F134" i="59"/>
  <c r="G134" i="59"/>
  <c r="F135" i="59"/>
  <c r="F136" i="59"/>
  <c r="F137" i="59"/>
  <c r="G137" i="59"/>
  <c r="F138" i="59"/>
  <c r="G138" i="59"/>
  <c r="F139" i="59"/>
  <c r="F140" i="59"/>
  <c r="F141" i="59"/>
  <c r="F142" i="59"/>
  <c r="G142" i="59"/>
  <c r="F143" i="59"/>
  <c r="G143" i="59" s="1"/>
  <c r="F144" i="59"/>
  <c r="F145" i="59"/>
  <c r="F146" i="59"/>
  <c r="G146" i="59" s="1"/>
  <c r="F147" i="59"/>
  <c r="F148" i="59"/>
  <c r="F149" i="59"/>
  <c r="F150" i="59"/>
  <c r="G150" i="59" s="1"/>
  <c r="F151" i="59"/>
  <c r="F152" i="59"/>
  <c r="F153" i="59"/>
  <c r="F154" i="59"/>
  <c r="G154" i="59" s="1"/>
  <c r="F155" i="59"/>
  <c r="F156" i="59"/>
  <c r="F157" i="59"/>
  <c r="F158" i="59"/>
  <c r="F159" i="59"/>
  <c r="G159" i="59" s="1"/>
  <c r="F160" i="59"/>
  <c r="G160" i="59" s="1"/>
  <c r="F161" i="59"/>
  <c r="F162" i="59"/>
  <c r="G162" i="59"/>
  <c r="F163" i="59"/>
  <c r="F164" i="59"/>
  <c r="F165" i="59"/>
  <c r="F166" i="59"/>
  <c r="G166" i="59"/>
  <c r="F167" i="59"/>
  <c r="F168" i="59"/>
  <c r="F169" i="59"/>
  <c r="G169" i="59"/>
  <c r="F170" i="59"/>
  <c r="G170" i="59" s="1"/>
  <c r="F171" i="59"/>
  <c r="F172" i="59"/>
  <c r="F173" i="59"/>
  <c r="G173" i="59" s="1"/>
  <c r="F174" i="59"/>
  <c r="G174" i="59"/>
  <c r="F6" i="59"/>
  <c r="U20" i="2"/>
  <c r="V20" i="2"/>
  <c r="U21" i="2"/>
  <c r="V21" i="2" s="1"/>
  <c r="U22" i="2"/>
  <c r="V22" i="2"/>
  <c r="U23" i="2"/>
  <c r="V23" i="2" s="1"/>
  <c r="U24" i="2"/>
  <c r="V24" i="2"/>
  <c r="U25" i="2"/>
  <c r="V25" i="2" s="1"/>
  <c r="U26" i="2"/>
  <c r="V26" i="2"/>
  <c r="U27" i="2"/>
  <c r="V27" i="2" s="1"/>
  <c r="U28" i="2"/>
  <c r="V28" i="2"/>
  <c r="U29" i="2"/>
  <c r="V29" i="2" s="1"/>
  <c r="U30" i="2"/>
  <c r="V30" i="2"/>
  <c r="U31" i="2"/>
  <c r="V31" i="2" s="1"/>
  <c r="U32" i="2"/>
  <c r="V32" i="2"/>
  <c r="U33" i="2"/>
  <c r="V33" i="2" s="1"/>
  <c r="U34" i="2"/>
  <c r="V34" i="2"/>
  <c r="U35" i="2"/>
  <c r="V35" i="2" s="1"/>
  <c r="U36" i="2"/>
  <c r="V36" i="2"/>
  <c r="U37" i="2"/>
  <c r="V37" i="2" s="1"/>
  <c r="U38" i="2"/>
  <c r="V38" i="2"/>
  <c r="U39" i="2"/>
  <c r="V39" i="2" s="1"/>
  <c r="U40" i="2"/>
  <c r="V40" i="2"/>
  <c r="U41" i="2"/>
  <c r="V41" i="2" s="1"/>
  <c r="U42" i="2"/>
  <c r="V42" i="2"/>
  <c r="U43" i="2"/>
  <c r="V43" i="2" s="1"/>
  <c r="U44" i="2"/>
  <c r="V44" i="2"/>
  <c r="U45" i="2"/>
  <c r="V45" i="2" s="1"/>
  <c r="U46" i="2"/>
  <c r="V46" i="2"/>
  <c r="U47" i="2"/>
  <c r="V47" i="2" s="1"/>
  <c r="U48" i="2"/>
  <c r="V48" i="2"/>
  <c r="U49" i="2"/>
  <c r="V49" i="2" s="1"/>
  <c r="U50" i="2"/>
  <c r="V50" i="2"/>
  <c r="U51" i="2"/>
  <c r="V51" i="2" s="1"/>
  <c r="U52" i="2"/>
  <c r="V52" i="2"/>
  <c r="U53" i="2"/>
  <c r="V53" i="2" s="1"/>
  <c r="U54" i="2"/>
  <c r="V54" i="2"/>
  <c r="U55" i="2"/>
  <c r="V55" i="2" s="1"/>
  <c r="U56" i="2"/>
  <c r="V56" i="2"/>
  <c r="U57" i="2"/>
  <c r="V57" i="2" s="1"/>
  <c r="U58" i="2"/>
  <c r="V58" i="2"/>
  <c r="U59" i="2"/>
  <c r="V59" i="2" s="1"/>
  <c r="U60" i="2"/>
  <c r="V60" i="2"/>
  <c r="U61" i="2"/>
  <c r="V61" i="2" s="1"/>
  <c r="U62" i="2"/>
  <c r="V62" i="2"/>
  <c r="U63" i="2"/>
  <c r="V63" i="2" s="1"/>
  <c r="U64" i="2"/>
  <c r="V64" i="2"/>
  <c r="U65" i="2"/>
  <c r="V65" i="2" s="1"/>
  <c r="U66" i="2"/>
  <c r="V66" i="2"/>
  <c r="U67" i="2"/>
  <c r="V67" i="2" s="1"/>
  <c r="U68" i="2"/>
  <c r="V68" i="2"/>
  <c r="U69" i="2"/>
  <c r="V69" i="2" s="1"/>
  <c r="U70" i="2"/>
  <c r="V70" i="2"/>
  <c r="U71" i="2"/>
  <c r="V71" i="2" s="1"/>
  <c r="U72" i="2"/>
  <c r="V72" i="2"/>
  <c r="U73" i="2"/>
  <c r="V73" i="2" s="1"/>
  <c r="U74" i="2"/>
  <c r="V74" i="2"/>
  <c r="U75" i="2"/>
  <c r="V75" i="2" s="1"/>
  <c r="U76" i="2"/>
  <c r="V76" i="2"/>
  <c r="U77" i="2"/>
  <c r="V77" i="2" s="1"/>
  <c r="U78" i="2"/>
  <c r="V78" i="2"/>
  <c r="U79" i="2"/>
  <c r="V79" i="2" s="1"/>
  <c r="U80" i="2"/>
  <c r="V80" i="2"/>
  <c r="U81" i="2"/>
  <c r="V81" i="2" s="1"/>
  <c r="U82" i="2"/>
  <c r="V82" i="2"/>
  <c r="U83" i="2"/>
  <c r="V83" i="2" s="1"/>
  <c r="U84" i="2"/>
  <c r="V84" i="2"/>
  <c r="U85" i="2"/>
  <c r="V85" i="2" s="1"/>
  <c r="U86" i="2"/>
  <c r="V86" i="2"/>
  <c r="U87" i="2"/>
  <c r="V87" i="2" s="1"/>
  <c r="U88" i="2"/>
  <c r="V88" i="2"/>
  <c r="U89" i="2"/>
  <c r="V89" i="2" s="1"/>
  <c r="U90" i="2"/>
  <c r="V90" i="2"/>
  <c r="U91" i="2"/>
  <c r="V91" i="2" s="1"/>
  <c r="U92" i="2"/>
  <c r="V92" i="2"/>
  <c r="U93" i="2"/>
  <c r="V93" i="2" s="1"/>
  <c r="U94" i="2"/>
  <c r="V94" i="2"/>
  <c r="U95" i="2"/>
  <c r="V95" i="2" s="1"/>
  <c r="U96" i="2"/>
  <c r="V96" i="2"/>
  <c r="U97" i="2"/>
  <c r="V97" i="2" s="1"/>
  <c r="U98" i="2"/>
  <c r="V98" i="2"/>
  <c r="U99" i="2"/>
  <c r="V99" i="2" s="1"/>
  <c r="U100" i="2"/>
  <c r="V100" i="2"/>
  <c r="U101" i="2"/>
  <c r="V101" i="2" s="1"/>
  <c r="U102" i="2"/>
  <c r="V102" i="2"/>
  <c r="U103" i="2"/>
  <c r="V103" i="2" s="1"/>
  <c r="U104" i="2"/>
  <c r="V104" i="2"/>
  <c r="U105" i="2"/>
  <c r="V105" i="2" s="1"/>
  <c r="U106" i="2"/>
  <c r="V106" i="2"/>
  <c r="U107" i="2"/>
  <c r="V107" i="2" s="1"/>
  <c r="U108" i="2"/>
  <c r="V108" i="2"/>
  <c r="U109" i="2"/>
  <c r="V109" i="2" s="1"/>
  <c r="U110" i="2"/>
  <c r="V110" i="2"/>
  <c r="U111" i="2"/>
  <c r="V111" i="2" s="1"/>
  <c r="U112" i="2"/>
  <c r="V112" i="2"/>
  <c r="U113" i="2"/>
  <c r="V113" i="2" s="1"/>
  <c r="U114" i="2"/>
  <c r="V114" i="2"/>
  <c r="U115" i="2"/>
  <c r="V115" i="2" s="1"/>
  <c r="U116" i="2"/>
  <c r="V116" i="2"/>
  <c r="U117" i="2"/>
  <c r="V117" i="2" s="1"/>
  <c r="U118" i="2"/>
  <c r="V118" i="2"/>
  <c r="U119" i="2"/>
  <c r="V119" i="2" s="1"/>
  <c r="U120" i="2"/>
  <c r="V120" i="2" s="1"/>
  <c r="U121" i="2"/>
  <c r="V121" i="2"/>
  <c r="U122" i="2"/>
  <c r="V122" i="2" s="1"/>
  <c r="U123" i="2"/>
  <c r="V123" i="2"/>
  <c r="U124" i="2"/>
  <c r="V124" i="2" s="1"/>
  <c r="U125" i="2"/>
  <c r="V125" i="2" s="1"/>
  <c r="U126" i="2"/>
  <c r="V126" i="2" s="1"/>
  <c r="U127" i="2"/>
  <c r="V127" i="2"/>
  <c r="U128" i="2"/>
  <c r="V128" i="2" s="1"/>
  <c r="U129" i="2"/>
  <c r="V129" i="2"/>
  <c r="U130" i="2"/>
  <c r="V130" i="2" s="1"/>
  <c r="U131" i="2"/>
  <c r="V131" i="2"/>
  <c r="U132" i="2"/>
  <c r="V132" i="2" s="1"/>
  <c r="U133" i="2"/>
  <c r="V133" i="2" s="1"/>
  <c r="U134" i="2"/>
  <c r="V134" i="2" s="1"/>
  <c r="U135" i="2"/>
  <c r="V135" i="2" s="1"/>
  <c r="U136" i="2"/>
  <c r="V136" i="2" s="1"/>
  <c r="U137" i="2"/>
  <c r="V137" i="2"/>
  <c r="U138" i="2"/>
  <c r="V138" i="2" s="1"/>
  <c r="U139" i="2"/>
  <c r="V139" i="2"/>
  <c r="U140" i="2"/>
  <c r="V140" i="2" s="1"/>
  <c r="U141" i="2"/>
  <c r="V141" i="2" s="1"/>
  <c r="U142" i="2"/>
  <c r="V142" i="2" s="1"/>
  <c r="U143" i="2"/>
  <c r="V143" i="2" s="1"/>
  <c r="U144" i="2"/>
  <c r="V144" i="2" s="1"/>
  <c r="U145" i="2"/>
  <c r="V145" i="2"/>
  <c r="U146" i="2"/>
  <c r="V146" i="2" s="1"/>
  <c r="U147" i="2"/>
  <c r="V147" i="2"/>
  <c r="U148" i="2"/>
  <c r="V148" i="2" s="1"/>
  <c r="U149" i="2"/>
  <c r="V149" i="2" s="1"/>
  <c r="U150" i="2"/>
  <c r="V150" i="2" s="1"/>
  <c r="U151" i="2"/>
  <c r="V151" i="2" s="1"/>
  <c r="U152" i="2"/>
  <c r="V152" i="2" s="1"/>
  <c r="U153" i="2"/>
  <c r="V153" i="2"/>
  <c r="U154" i="2"/>
  <c r="V154" i="2" s="1"/>
  <c r="U155" i="2"/>
  <c r="V155" i="2"/>
  <c r="U156" i="2"/>
  <c r="V156" i="2" s="1"/>
  <c r="U157" i="2"/>
  <c r="V157" i="2" s="1"/>
  <c r="U158" i="2"/>
  <c r="V158" i="2" s="1"/>
  <c r="U159" i="2"/>
  <c r="V159" i="2"/>
  <c r="U160" i="2"/>
  <c r="V160" i="2" s="1"/>
  <c r="U161" i="2"/>
  <c r="V161" i="2"/>
  <c r="U162" i="2"/>
  <c r="V162" i="2" s="1"/>
  <c r="U163" i="2"/>
  <c r="V163" i="2"/>
  <c r="U164" i="2"/>
  <c r="V164" i="2" s="1"/>
  <c r="U165" i="2"/>
  <c r="V165" i="2" s="1"/>
  <c r="U166" i="2"/>
  <c r="V166" i="2" s="1"/>
  <c r="U167" i="2"/>
  <c r="V167" i="2" s="1"/>
  <c r="U168" i="2"/>
  <c r="V168" i="2" s="1"/>
  <c r="U169" i="2"/>
  <c r="V169" i="2"/>
  <c r="U170" i="2"/>
  <c r="V170" i="2" s="1"/>
  <c r="U171" i="2"/>
  <c r="V171" i="2"/>
  <c r="U172" i="2"/>
  <c r="V172" i="2" s="1"/>
  <c r="U173" i="2"/>
  <c r="V173" i="2" s="1"/>
  <c r="U174" i="2"/>
  <c r="V174" i="2" s="1"/>
  <c r="U175" i="2"/>
  <c r="V175" i="2" s="1"/>
  <c r="U176" i="2"/>
  <c r="V176" i="2" s="1"/>
  <c r="U177" i="2"/>
  <c r="V177" i="2"/>
  <c r="U178" i="2"/>
  <c r="V178" i="2" s="1"/>
  <c r="U179" i="2"/>
  <c r="V179" i="2"/>
  <c r="U180" i="2"/>
  <c r="V180" i="2" s="1"/>
  <c r="U181" i="2"/>
  <c r="V181" i="2" s="1"/>
  <c r="U182" i="2"/>
  <c r="V182" i="2" s="1"/>
  <c r="U183" i="2"/>
  <c r="V183" i="2" s="1"/>
  <c r="U184" i="2"/>
  <c r="V184" i="2" s="1"/>
  <c r="U185" i="2"/>
  <c r="V185" i="2"/>
  <c r="U186" i="2"/>
  <c r="V186" i="2" s="1"/>
  <c r="U187" i="2"/>
  <c r="V187" i="2"/>
  <c r="U19" i="2"/>
  <c r="V19" i="2" s="1"/>
  <c r="G158" i="59"/>
  <c r="G126" i="59"/>
  <c r="G74" i="59"/>
  <c r="G133" i="59"/>
  <c r="G102" i="59"/>
  <c r="G70" i="59"/>
  <c r="G62" i="59"/>
  <c r="P97" i="61"/>
  <c r="S97" i="61" s="1"/>
  <c r="V97" i="61" s="1"/>
  <c r="P93" i="61"/>
  <c r="S93" i="61"/>
  <c r="P73" i="61"/>
  <c r="S73" i="61" s="1"/>
  <c r="V73" i="61" s="1"/>
  <c r="P69" i="61"/>
  <c r="S69" i="61" s="1"/>
  <c r="V69" i="61" s="1"/>
  <c r="P65" i="61"/>
  <c r="S65" i="61" s="1"/>
  <c r="V65" i="61" s="1"/>
  <c r="P61" i="61"/>
  <c r="P53" i="61"/>
  <c r="S53" i="61" s="1"/>
  <c r="V53" i="61" s="1"/>
  <c r="P63" i="61"/>
  <c r="S63" i="61" s="1"/>
  <c r="V63" i="61" s="1"/>
  <c r="P47" i="61"/>
  <c r="S47" i="61" s="1"/>
  <c r="V47" i="61" s="1"/>
  <c r="S80" i="61"/>
  <c r="V80" i="61" s="1"/>
  <c r="P62" i="61"/>
  <c r="S62" i="61"/>
  <c r="V62" i="61" s="1"/>
  <c r="P46" i="61"/>
  <c r="S46" i="61" s="1"/>
  <c r="P94" i="61"/>
  <c r="S94" i="61"/>
  <c r="V94" i="61" s="1"/>
  <c r="P90" i="61"/>
  <c r="S90" i="61" s="1"/>
  <c r="V90" i="61" s="1"/>
  <c r="P86" i="61"/>
  <c r="S86" i="61" s="1"/>
  <c r="V86" i="61" s="1"/>
  <c r="P82" i="61"/>
  <c r="S82" i="61" s="1"/>
  <c r="P70" i="61"/>
  <c r="S70" i="61" s="1"/>
  <c r="V70" i="61" s="1"/>
  <c r="P66" i="61"/>
  <c r="P91" i="61"/>
  <c r="S91" i="61" s="1"/>
  <c r="V91" i="61" s="1"/>
  <c r="P87" i="61"/>
  <c r="S87" i="61" s="1"/>
  <c r="V87" i="61" s="1"/>
  <c r="P79" i="61"/>
  <c r="S79" i="61" s="1"/>
  <c r="J99" i="60"/>
  <c r="G104" i="60"/>
  <c r="J98" i="60"/>
  <c r="O106" i="60"/>
  <c r="G132" i="59"/>
  <c r="G44" i="59"/>
  <c r="G20" i="59"/>
  <c r="K7" i="59"/>
  <c r="G112" i="59"/>
  <c r="G80" i="59"/>
  <c r="G32" i="59"/>
  <c r="G24" i="59"/>
  <c r="G167" i="59"/>
  <c r="G103" i="59"/>
  <c r="G47" i="59"/>
  <c r="G39" i="59"/>
  <c r="G15" i="59"/>
  <c r="G155" i="59"/>
  <c r="G147" i="59"/>
  <c r="G115" i="59"/>
  <c r="G91" i="59"/>
  <c r="G83" i="59"/>
  <c r="G59" i="59"/>
  <c r="G27" i="59"/>
  <c r="AX52" i="39"/>
  <c r="J101" i="60"/>
  <c r="J100" i="60"/>
  <c r="G106" i="60"/>
  <c r="L7" i="57"/>
  <c r="L8" i="57"/>
  <c r="L9"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1" i="57"/>
  <c r="L42" i="57"/>
  <c r="L43" i="57"/>
  <c r="L44" i="57"/>
  <c r="L45" i="57"/>
  <c r="L46" i="57"/>
  <c r="L47" i="57"/>
  <c r="L48" i="57"/>
  <c r="L49" i="57"/>
  <c r="L50" i="57"/>
  <c r="L51" i="57"/>
  <c r="L52" i="57"/>
  <c r="L53" i="57"/>
  <c r="L54" i="57"/>
  <c r="L6" i="57"/>
  <c r="F7" i="57"/>
  <c r="F8" i="57"/>
  <c r="F9" i="57"/>
  <c r="F10" i="57"/>
  <c r="F11"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1" i="57"/>
  <c r="F42" i="57"/>
  <c r="F43" i="57"/>
  <c r="F44" i="57"/>
  <c r="F45" i="57"/>
  <c r="F46" i="57"/>
  <c r="F47" i="57"/>
  <c r="F48" i="57"/>
  <c r="F49" i="57"/>
  <c r="F50" i="57"/>
  <c r="F51" i="57"/>
  <c r="F52" i="57"/>
  <c r="F53" i="57"/>
  <c r="F54" i="57"/>
  <c r="F6" i="57"/>
  <c r="F61" i="57" s="1"/>
  <c r="AN10" i="39"/>
  <c r="AE21" i="39"/>
  <c r="AM21" i="39" s="1"/>
  <c r="AE25" i="39"/>
  <c r="AM25" i="39" s="1"/>
  <c r="AE29" i="39"/>
  <c r="AM29" i="39" s="1"/>
  <c r="AE33" i="39"/>
  <c r="AM33" i="39"/>
  <c r="AE17" i="39"/>
  <c r="AM17" i="39" s="1"/>
  <c r="AE18" i="39"/>
  <c r="AM18" i="39" s="1"/>
  <c r="AE19" i="39"/>
  <c r="AM19" i="39" s="1"/>
  <c r="AE20" i="39"/>
  <c r="AM20" i="39" s="1"/>
  <c r="AE22" i="39"/>
  <c r="AM22" i="39" s="1"/>
  <c r="AE23" i="39"/>
  <c r="AM23" i="39" s="1"/>
  <c r="AE24" i="39"/>
  <c r="AM24" i="39" s="1"/>
  <c r="AE26" i="39"/>
  <c r="AM26" i="39"/>
  <c r="AE27" i="39"/>
  <c r="AM27" i="39" s="1"/>
  <c r="AE28" i="39"/>
  <c r="AM28" i="39" s="1"/>
  <c r="AE30" i="39"/>
  <c r="AM30" i="39" s="1"/>
  <c r="AE31" i="39"/>
  <c r="AM31" i="39" s="1"/>
  <c r="AE32" i="39"/>
  <c r="AM32" i="39" s="1"/>
  <c r="AE34" i="39"/>
  <c r="AM34" i="39" s="1"/>
  <c r="AE35" i="39"/>
  <c r="AM35" i="39" s="1"/>
  <c r="AH12" i="39"/>
  <c r="AK21" i="39"/>
  <c r="AK22" i="39"/>
  <c r="AK23" i="39"/>
  <c r="AK24" i="39"/>
  <c r="AK25" i="39"/>
  <c r="AK26" i="39"/>
  <c r="AK28" i="39"/>
  <c r="AK29" i="39"/>
  <c r="AK30" i="39"/>
  <c r="AK31" i="39"/>
  <c r="AK32" i="39"/>
  <c r="AK33" i="39"/>
  <c r="AK34" i="39"/>
  <c r="AK20" i="39"/>
  <c r="AJ21" i="39"/>
  <c r="AJ22" i="39"/>
  <c r="AJ23" i="39"/>
  <c r="AJ24" i="39"/>
  <c r="AJ25" i="39"/>
  <c r="AJ26" i="39"/>
  <c r="AJ28" i="39"/>
  <c r="AJ29" i="39"/>
  <c r="AJ30" i="39"/>
  <c r="AJ31" i="39"/>
  <c r="AJ32" i="39"/>
  <c r="AJ33" i="39"/>
  <c r="AJ34" i="39"/>
  <c r="AJ20" i="39"/>
  <c r="AI14" i="39"/>
  <c r="AH15" i="39"/>
  <c r="AI15" i="39" s="1"/>
  <c r="AF16" i="39"/>
  <c r="Q18" i="41"/>
  <c r="R18" i="41" s="1"/>
  <c r="Q89" i="60"/>
  <c r="M25" i="41"/>
  <c r="Q11" i="41"/>
  <c r="R11" i="41" s="1"/>
  <c r="Q12" i="41"/>
  <c r="R12" i="41"/>
  <c r="Q13" i="41"/>
  <c r="R13" i="41" s="1"/>
  <c r="Q14" i="41"/>
  <c r="R14" i="41"/>
  <c r="Q15" i="41"/>
  <c r="R15" i="41" s="1"/>
  <c r="Q16" i="41"/>
  <c r="R16" i="41"/>
  <c r="Q17" i="41"/>
  <c r="R17" i="41" s="1"/>
  <c r="Q19" i="41"/>
  <c r="R19" i="41"/>
  <c r="Q20" i="41"/>
  <c r="R20" i="41" s="1"/>
  <c r="Q21" i="41"/>
  <c r="R21" i="41"/>
  <c r="Q22" i="41"/>
  <c r="R22" i="41" s="1"/>
  <c r="D19" i="2"/>
  <c r="R214" i="2"/>
  <c r="R227" i="2" s="1"/>
  <c r="R215" i="2"/>
  <c r="R228" i="2" s="1"/>
  <c r="R216" i="2"/>
  <c r="R217" i="2"/>
  <c r="R218" i="2"/>
  <c r="R231" i="2" s="1"/>
  <c r="R219" i="2"/>
  <c r="R232" i="2" s="1"/>
  <c r="R220" i="2"/>
  <c r="R233" i="2" s="1"/>
  <c r="R221" i="2"/>
  <c r="R222" i="2"/>
  <c r="R223" i="2"/>
  <c r="R236" i="2" s="1"/>
  <c r="J236" i="2" s="1"/>
  <c r="R224" i="2"/>
  <c r="R225" i="2"/>
  <c r="R226" i="2"/>
  <c r="R239" i="2"/>
  <c r="R229" i="2"/>
  <c r="R235" i="2"/>
  <c r="R237" i="2"/>
  <c r="D32" i="2"/>
  <c r="D19" i="59"/>
  <c r="D33" i="2"/>
  <c r="D45" i="2"/>
  <c r="D58" i="2"/>
  <c r="D71" i="2"/>
  <c r="D84" i="2"/>
  <c r="D97" i="2"/>
  <c r="D110" i="2"/>
  <c r="D123" i="2"/>
  <c r="D136" i="2"/>
  <c r="D149" i="2"/>
  <c r="D162" i="2"/>
  <c r="D175" i="2"/>
  <c r="D188" i="2"/>
  <c r="D189" i="2" s="1"/>
  <c r="D190" i="2" s="1"/>
  <c r="D191" i="2" s="1"/>
  <c r="D192" i="2" s="1"/>
  <c r="D193" i="2" s="1"/>
  <c r="D194" i="2" s="1"/>
  <c r="D195" i="2" s="1"/>
  <c r="D196" i="2"/>
  <c r="D197" i="2" s="1"/>
  <c r="D198" i="2" s="1"/>
  <c r="D199" i="2" s="1"/>
  <c r="D200" i="2" s="1"/>
  <c r="D201" i="2"/>
  <c r="D202" i="2" s="1"/>
  <c r="D203" i="2"/>
  <c r="D204" i="2" s="1"/>
  <c r="D205" i="2" s="1"/>
  <c r="D206" i="2" s="1"/>
  <c r="D207" i="2" s="1"/>
  <c r="D208" i="2" s="1"/>
  <c r="D209" i="2" s="1"/>
  <c r="D210" i="2" s="1"/>
  <c r="D211" i="2" s="1"/>
  <c r="D212" i="2" s="1"/>
  <c r="D213" i="2" s="1"/>
  <c r="D214" i="2"/>
  <c r="D215" i="2"/>
  <c r="D216" i="2"/>
  <c r="D217" i="2" s="1"/>
  <c r="D218" i="2" s="1"/>
  <c r="D219" i="2" s="1"/>
  <c r="D220" i="2" s="1"/>
  <c r="D221" i="2" s="1"/>
  <c r="D222" i="2" s="1"/>
  <c r="D223" i="2" s="1"/>
  <c r="D224" i="2" s="1"/>
  <c r="D225" i="2" s="1"/>
  <c r="D226" i="2" s="1"/>
  <c r="D227" i="2"/>
  <c r="D228" i="2" s="1"/>
  <c r="D229" i="2" s="1"/>
  <c r="D230" i="2" s="1"/>
  <c r="D231" i="2" s="1"/>
  <c r="D232" i="2" s="1"/>
  <c r="D233" i="2" s="1"/>
  <c r="D234" i="2" s="1"/>
  <c r="D235" i="2" s="1"/>
  <c r="D236" i="2" s="1"/>
  <c r="D237" i="2" s="1"/>
  <c r="D238" i="2" s="1"/>
  <c r="D239" i="2" s="1"/>
  <c r="W214" i="2"/>
  <c r="W215" i="2"/>
  <c r="W228" i="2"/>
  <c r="W216" i="2"/>
  <c r="W229" i="2" s="1"/>
  <c r="W217" i="2"/>
  <c r="W218" i="2"/>
  <c r="W219" i="2"/>
  <c r="W232" i="2" s="1"/>
  <c r="W220" i="2"/>
  <c r="W221" i="2"/>
  <c r="W222" i="2"/>
  <c r="W223" i="2"/>
  <c r="W236" i="2" s="1"/>
  <c r="W224" i="2"/>
  <c r="W237" i="2" s="1"/>
  <c r="W225" i="2"/>
  <c r="W226" i="2"/>
  <c r="K25" i="41"/>
  <c r="P25" i="41"/>
  <c r="P45" i="41"/>
  <c r="O45" i="41"/>
  <c r="N45" i="41"/>
  <c r="M45" i="41"/>
  <c r="L45" i="41"/>
  <c r="K45" i="41"/>
  <c r="I45" i="41"/>
  <c r="F45" i="41"/>
  <c r="E45" i="41"/>
  <c r="L25" i="41"/>
  <c r="G214" i="2"/>
  <c r="G227" i="2"/>
  <c r="G215" i="2"/>
  <c r="G216" i="2"/>
  <c r="G218" i="2"/>
  <c r="G231" i="2" s="1"/>
  <c r="G219" i="2"/>
  <c r="G222" i="2"/>
  <c r="G223" i="2"/>
  <c r="G224" i="2"/>
  <c r="G225" i="2"/>
  <c r="G226" i="2"/>
  <c r="O25" i="41"/>
  <c r="N25" i="41"/>
  <c r="G45" i="41"/>
  <c r="D45" i="41"/>
  <c r="H45" i="41"/>
  <c r="K14" i="39"/>
  <c r="K12" i="39"/>
  <c r="K18" i="39"/>
  <c r="N18" i="39" s="1"/>
  <c r="K19" i="39"/>
  <c r="N19" i="39" s="1"/>
  <c r="K20" i="39"/>
  <c r="N20" i="39" s="1"/>
  <c r="K21" i="39"/>
  <c r="N21" i="39"/>
  <c r="K22" i="39"/>
  <c r="N22" i="39" s="1"/>
  <c r="K23" i="39"/>
  <c r="N23" i="39" s="1"/>
  <c r="K24" i="39"/>
  <c r="N24" i="39" s="1"/>
  <c r="K25" i="39"/>
  <c r="N25" i="39" s="1"/>
  <c r="K26" i="39"/>
  <c r="N26" i="39" s="1"/>
  <c r="K27" i="39"/>
  <c r="N27" i="39"/>
  <c r="K28" i="39"/>
  <c r="N28" i="39" s="1"/>
  <c r="K29" i="39"/>
  <c r="N29" i="39" s="1"/>
  <c r="K30" i="39"/>
  <c r="N30" i="39" s="1"/>
  <c r="K31" i="39"/>
  <c r="K32" i="39"/>
  <c r="N32" i="39" s="1"/>
  <c r="K33" i="39"/>
  <c r="N33" i="39" s="1"/>
  <c r="N36" i="39"/>
  <c r="N37" i="39"/>
  <c r="N40" i="39"/>
  <c r="N41" i="39"/>
  <c r="N44" i="39"/>
  <c r="N45" i="39"/>
  <c r="N48" i="39"/>
  <c r="N49" i="39"/>
  <c r="N52" i="39"/>
  <c r="K53" i="39"/>
  <c r="N53" i="39" s="1"/>
  <c r="K54" i="39"/>
  <c r="N54" i="39" s="1"/>
  <c r="K55" i="39"/>
  <c r="N55" i="39" s="1"/>
  <c r="K56" i="39"/>
  <c r="N56" i="39" s="1"/>
  <c r="K57" i="39"/>
  <c r="N57" i="39" s="1"/>
  <c r="K58" i="39"/>
  <c r="N58" i="39"/>
  <c r="K59" i="39"/>
  <c r="K60" i="39"/>
  <c r="N60" i="39" s="1"/>
  <c r="K61" i="39"/>
  <c r="N61" i="39" s="1"/>
  <c r="K62" i="39"/>
  <c r="N62" i="39"/>
  <c r="K63" i="39"/>
  <c r="K64" i="39"/>
  <c r="N64" i="39" s="1"/>
  <c r="K65" i="39"/>
  <c r="N65" i="39" s="1"/>
  <c r="P23" i="39"/>
  <c r="Q23" i="39" s="1"/>
  <c r="P27" i="39"/>
  <c r="Q27" i="39" s="1"/>
  <c r="P30" i="39"/>
  <c r="P34" i="39"/>
  <c r="P38" i="39"/>
  <c r="P42" i="39"/>
  <c r="P46" i="39"/>
  <c r="P50" i="39"/>
  <c r="P54" i="39"/>
  <c r="P58" i="39"/>
  <c r="P62" i="39"/>
  <c r="P66" i="39"/>
  <c r="P71" i="39"/>
  <c r="P75" i="39"/>
  <c r="S21" i="39"/>
  <c r="G9" i="39"/>
  <c r="G10" i="39"/>
  <c r="G11" i="39"/>
  <c r="G8" i="39"/>
  <c r="G12" i="39"/>
  <c r="G13" i="39"/>
  <c r="G14" i="39"/>
  <c r="G15" i="39"/>
  <c r="G16" i="39"/>
  <c r="G17" i="39"/>
  <c r="G18" i="39"/>
  <c r="G19" i="39"/>
  <c r="G20" i="39"/>
  <c r="G21" i="39"/>
  <c r="G22" i="39"/>
  <c r="G23" i="39"/>
  <c r="G24" i="39"/>
  <c r="G25" i="39"/>
  <c r="G26" i="39"/>
  <c r="G27" i="39"/>
  <c r="G28" i="39"/>
  <c r="G29" i="39"/>
  <c r="G30" i="39"/>
  <c r="G31" i="39"/>
  <c r="G32" i="39"/>
  <c r="G34" i="39"/>
  <c r="G35" i="39"/>
  <c r="G36" i="39"/>
  <c r="G37" i="39"/>
  <c r="G38" i="39"/>
  <c r="G39" i="39"/>
  <c r="G40" i="39"/>
  <c r="G41" i="39"/>
  <c r="G42" i="39"/>
  <c r="G43" i="39"/>
  <c r="G44" i="39"/>
  <c r="G45" i="39"/>
  <c r="G46" i="39"/>
  <c r="G47" i="39"/>
  <c r="G48" i="39"/>
  <c r="G50" i="39"/>
  <c r="G51" i="39"/>
  <c r="G52" i="39"/>
  <c r="G53" i="39"/>
  <c r="G54" i="39"/>
  <c r="G55" i="39"/>
  <c r="G56" i="39"/>
  <c r="G57" i="39"/>
  <c r="G58" i="39"/>
  <c r="G59" i="39"/>
  <c r="G60" i="39"/>
  <c r="G61" i="39"/>
  <c r="F9" i="39"/>
  <c r="F12" i="39"/>
  <c r="F13" i="39"/>
  <c r="F15" i="39"/>
  <c r="F16" i="39"/>
  <c r="F17" i="39"/>
  <c r="F18" i="39"/>
  <c r="F19" i="39"/>
  <c r="F20" i="39"/>
  <c r="F21" i="39"/>
  <c r="F22" i="39"/>
  <c r="F23" i="39"/>
  <c r="F24" i="39"/>
  <c r="F25" i="39"/>
  <c r="F26" i="39"/>
  <c r="F27" i="39"/>
  <c r="F28" i="39"/>
  <c r="F29" i="39"/>
  <c r="F30" i="39"/>
  <c r="F31" i="39"/>
  <c r="F33" i="39"/>
  <c r="F34" i="39"/>
  <c r="F35" i="39"/>
  <c r="F36" i="39"/>
  <c r="F37" i="39"/>
  <c r="F38" i="39"/>
  <c r="F39" i="39"/>
  <c r="F40" i="39"/>
  <c r="F41" i="39"/>
  <c r="F42" i="39"/>
  <c r="F43" i="39"/>
  <c r="F44" i="39"/>
  <c r="F45" i="39"/>
  <c r="F46" i="39"/>
  <c r="F48" i="39"/>
  <c r="F49" i="39"/>
  <c r="F50" i="39"/>
  <c r="F51" i="39"/>
  <c r="F52" i="39"/>
  <c r="F53" i="39"/>
  <c r="F54" i="39"/>
  <c r="F55" i="39"/>
  <c r="F56" i="39"/>
  <c r="F57" i="39"/>
  <c r="F58" i="39"/>
  <c r="F59" i="39"/>
  <c r="F60" i="39"/>
  <c r="F8" i="39"/>
  <c r="S20" i="39"/>
  <c r="S25" i="39"/>
  <c r="H8" i="2"/>
  <c r="H9" i="2"/>
  <c r="H10" i="2"/>
  <c r="H11" i="2"/>
  <c r="H15" i="2"/>
  <c r="H16" i="2"/>
  <c r="H17" i="2"/>
  <c r="H18" i="2"/>
  <c r="H7" i="2"/>
  <c r="S18" i="2"/>
  <c r="O218" i="2"/>
  <c r="N18" i="2"/>
  <c r="I18" i="2"/>
  <c r="Q18" i="2"/>
  <c r="B227" i="2"/>
  <c r="B214" i="2"/>
  <c r="B215" i="2"/>
  <c r="B216" i="2" s="1"/>
  <c r="B217" i="2" s="1"/>
  <c r="B218" i="2" s="1"/>
  <c r="B219" i="2" s="1"/>
  <c r="B220" i="2" s="1"/>
  <c r="B221" i="2" s="1"/>
  <c r="B222" i="2" s="1"/>
  <c r="B223" i="2" s="1"/>
  <c r="B224" i="2" s="1"/>
  <c r="B225" i="2" s="1"/>
  <c r="B226" i="2" s="1"/>
  <c r="B201" i="2"/>
  <c r="B202" i="2" s="1"/>
  <c r="B203" i="2" s="1"/>
  <c r="B204" i="2" s="1"/>
  <c r="B205" i="2" s="1"/>
  <c r="B206" i="2" s="1"/>
  <c r="B207" i="2" s="1"/>
  <c r="B208" i="2" s="1"/>
  <c r="B209" i="2" s="1"/>
  <c r="B210" i="2" s="1"/>
  <c r="B211" i="2" s="1"/>
  <c r="B212" i="2" s="1"/>
  <c r="B213" i="2" s="1"/>
  <c r="B188" i="2"/>
  <c r="B189" i="2"/>
  <c r="B190" i="2" s="1"/>
  <c r="B191" i="2" s="1"/>
  <c r="B192" i="2" s="1"/>
  <c r="B193" i="2" s="1"/>
  <c r="B194" i="2" s="1"/>
  <c r="B195" i="2" s="1"/>
  <c r="B196" i="2" s="1"/>
  <c r="B197" i="2" s="1"/>
  <c r="B198" i="2" s="1"/>
  <c r="B199" i="2" s="1"/>
  <c r="B200" i="2" s="1"/>
  <c r="B175" i="2"/>
  <c r="B162" i="2"/>
  <c r="B163" i="2"/>
  <c r="B164" i="2" s="1"/>
  <c r="B165" i="2" s="1"/>
  <c r="B166" i="2" s="1"/>
  <c r="B167" i="2" s="1"/>
  <c r="B168" i="2" s="1"/>
  <c r="B169" i="2" s="1"/>
  <c r="B170" i="2" s="1"/>
  <c r="B171" i="2" s="1"/>
  <c r="B172" i="2" s="1"/>
  <c r="B173" i="2" s="1"/>
  <c r="B174" i="2" s="1"/>
  <c r="B149" i="2"/>
  <c r="B150" i="2" s="1"/>
  <c r="B151" i="2" s="1"/>
  <c r="B152" i="2" s="1"/>
  <c r="B153" i="2" s="1"/>
  <c r="B154" i="2" s="1"/>
  <c r="B155" i="2" s="1"/>
  <c r="B156" i="2" s="1"/>
  <c r="B157" i="2" s="1"/>
  <c r="B158" i="2" s="1"/>
  <c r="B159" i="2" s="1"/>
  <c r="B160" i="2" s="1"/>
  <c r="B161" i="2" s="1"/>
  <c r="B136" i="2"/>
  <c r="B137" i="2"/>
  <c r="B138" i="2" s="1"/>
  <c r="B139" i="2" s="1"/>
  <c r="B140" i="2" s="1"/>
  <c r="B141" i="2" s="1"/>
  <c r="B142" i="2" s="1"/>
  <c r="B143" i="2" s="1"/>
  <c r="B144" i="2" s="1"/>
  <c r="B145" i="2" s="1"/>
  <c r="B146" i="2" s="1"/>
  <c r="B147" i="2" s="1"/>
  <c r="B148" i="2" s="1"/>
  <c r="B123" i="2"/>
  <c r="B110" i="2"/>
  <c r="B97" i="2"/>
  <c r="B98" i="2" s="1"/>
  <c r="B99" i="2" s="1"/>
  <c r="B100" i="2" s="1"/>
  <c r="B101" i="2" s="1"/>
  <c r="B102" i="2" s="1"/>
  <c r="B103" i="2" s="1"/>
  <c r="B104" i="2" s="1"/>
  <c r="B105" i="2" s="1"/>
  <c r="B106" i="2" s="1"/>
  <c r="B107" i="2" s="1"/>
  <c r="B108" i="2" s="1"/>
  <c r="B109" i="2" s="1"/>
  <c r="B84" i="2"/>
  <c r="B85" i="2"/>
  <c r="B86" i="2" s="1"/>
  <c r="B87" i="2" s="1"/>
  <c r="B88" i="2" s="1"/>
  <c r="B89" i="2" s="1"/>
  <c r="B90" i="2" s="1"/>
  <c r="B91" i="2" s="1"/>
  <c r="B92" i="2" s="1"/>
  <c r="B93" i="2" s="1"/>
  <c r="B94" i="2" s="1"/>
  <c r="B95" i="2" s="1"/>
  <c r="B96" i="2" s="1"/>
  <c r="B71" i="2"/>
  <c r="B58" i="2"/>
  <c r="B45" i="2"/>
  <c r="B46" i="2" s="1"/>
  <c r="B47" i="2" s="1"/>
  <c r="B48" i="2" s="1"/>
  <c r="B49" i="2" s="1"/>
  <c r="B50" i="2" s="1"/>
  <c r="B51" i="2" s="1"/>
  <c r="B52" i="2" s="1"/>
  <c r="B53" i="2" s="1"/>
  <c r="B54" i="2" s="1"/>
  <c r="B55" i="2" s="1"/>
  <c r="B56" i="2" s="1"/>
  <c r="B57" i="2" s="1"/>
  <c r="B32" i="2"/>
  <c r="B33" i="2"/>
  <c r="B34" i="2" s="1"/>
  <c r="B35" i="2" s="1"/>
  <c r="B36" i="2" s="1"/>
  <c r="B37" i="2" s="1"/>
  <c r="B38" i="2" s="1"/>
  <c r="B39" i="2" s="1"/>
  <c r="B40" i="2" s="1"/>
  <c r="B41" i="2" s="1"/>
  <c r="B42" i="2" s="1"/>
  <c r="B43" i="2" s="1"/>
  <c r="B44" i="2" s="1"/>
  <c r="B19" i="2"/>
  <c r="B6" i="2"/>
  <c r="B7" i="2"/>
  <c r="B8" i="2" s="1"/>
  <c r="B9" i="2" s="1"/>
  <c r="B10" i="2" s="1"/>
  <c r="B11" i="2" s="1"/>
  <c r="B12" i="2" s="1"/>
  <c r="B13" i="2" s="1"/>
  <c r="B14" i="2" s="1"/>
  <c r="B15" i="2" s="1"/>
  <c r="B16" i="2" s="1"/>
  <c r="B17" i="2" s="1"/>
  <c r="B18" i="2" s="1"/>
  <c r="X97" i="2"/>
  <c r="G117" i="12"/>
  <c r="E117" i="12"/>
  <c r="D17" i="23"/>
  <c r="E17" i="23"/>
  <c r="F17" i="23"/>
  <c r="G17" i="23"/>
  <c r="C17" i="23"/>
  <c r="W227" i="2"/>
  <c r="G228" i="2"/>
  <c r="G229" i="2"/>
  <c r="G230" i="2"/>
  <c r="G232" i="2"/>
  <c r="G235" i="2"/>
  <c r="G236" i="2"/>
  <c r="G238" i="2"/>
  <c r="G239" i="2"/>
  <c r="C32" i="23"/>
  <c r="C33" i="23"/>
  <c r="C34" i="23" s="1"/>
  <c r="D32" i="23"/>
  <c r="D33" i="23" s="1"/>
  <c r="D34" i="23"/>
  <c r="D123" i="4"/>
  <c r="D124"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91" i="4"/>
  <c r="C95" i="4"/>
  <c r="C96" i="4"/>
  <c r="C97" i="4"/>
  <c r="C98" i="4"/>
  <c r="C99" i="4"/>
  <c r="C100" i="4"/>
  <c r="C101" i="4"/>
  <c r="C102" i="4"/>
  <c r="C103" i="4"/>
  <c r="C104" i="4"/>
  <c r="C105" i="4"/>
  <c r="C106" i="4"/>
  <c r="C107" i="4"/>
  <c r="C108" i="4"/>
  <c r="C109" i="4"/>
  <c r="C110" i="4"/>
  <c r="C111" i="4"/>
  <c r="C92" i="4"/>
  <c r="C93" i="4"/>
  <c r="C94" i="4"/>
  <c r="C91" i="4"/>
  <c r="M23" i="4"/>
  <c r="P23" i="4" s="1"/>
  <c r="N23" i="4"/>
  <c r="O23" i="4"/>
  <c r="O18" i="4"/>
  <c r="N18" i="4"/>
  <c r="AF86" i="4"/>
  <c r="AJ86" i="4" s="1"/>
  <c r="AG86" i="4"/>
  <c r="AH86" i="4"/>
  <c r="AI86" i="4"/>
  <c r="AE86" i="4"/>
  <c r="AH80" i="4"/>
  <c r="AF80" i="4"/>
  <c r="AG80" i="4"/>
  <c r="AJ80" i="4" s="1"/>
  <c r="AI80" i="4"/>
  <c r="D38" i="4"/>
  <c r="D39" i="4"/>
  <c r="D27" i="4"/>
  <c r="D28" i="4"/>
  <c r="D29" i="4"/>
  <c r="D30" i="4"/>
  <c r="D31" i="4"/>
  <c r="D32" i="4"/>
  <c r="D33" i="4"/>
  <c r="D34" i="4"/>
  <c r="D35" i="4"/>
  <c r="D36" i="4"/>
  <c r="D37" i="4"/>
  <c r="E27" i="3"/>
  <c r="F27" i="3" s="1"/>
  <c r="E26" i="3"/>
  <c r="D26" i="4"/>
  <c r="C26" i="4"/>
  <c r="R27" i="3"/>
  <c r="R26" i="3"/>
  <c r="G18" i="25"/>
  <c r="H18" i="25" s="1"/>
  <c r="G19" i="25"/>
  <c r="H19" i="25" s="1"/>
  <c r="G20" i="25"/>
  <c r="C16" i="24" s="1"/>
  <c r="G21" i="25"/>
  <c r="H21" i="25"/>
  <c r="G22" i="25"/>
  <c r="G23" i="25"/>
  <c r="H24" i="25" s="1"/>
  <c r="G24" i="25"/>
  <c r="G25" i="25"/>
  <c r="H25" i="25" s="1"/>
  <c r="G26" i="25"/>
  <c r="H27" i="25" s="1"/>
  <c r="G27" i="25"/>
  <c r="G28" i="25"/>
  <c r="H29" i="25" s="1"/>
  <c r="G29" i="25"/>
  <c r="H30" i="25" s="1"/>
  <c r="G30" i="25"/>
  <c r="G31" i="25"/>
  <c r="G17" i="25"/>
  <c r="H20" i="25"/>
  <c r="H22" i="25"/>
  <c r="H23" i="25"/>
  <c r="H26" i="25"/>
  <c r="C25" i="24"/>
  <c r="E25" i="24"/>
  <c r="C26" i="24"/>
  <c r="D26" i="24"/>
  <c r="E26" i="24"/>
  <c r="Q26" i="3"/>
  <c r="Q27" i="3"/>
  <c r="W28" i="26"/>
  <c r="W29" i="26"/>
  <c r="R28" i="26"/>
  <c r="R29" i="26"/>
  <c r="M28" i="26"/>
  <c r="M29" i="26"/>
  <c r="H28" i="26"/>
  <c r="H29" i="26"/>
  <c r="W230" i="2"/>
  <c r="W231" i="2"/>
  <c r="W233" i="2"/>
  <c r="W234" i="2"/>
  <c r="W235" i="2"/>
  <c r="W238" i="2"/>
  <c r="W239" i="2"/>
  <c r="F26" i="24"/>
  <c r="Y29" i="26" s="1"/>
  <c r="C5" i="5"/>
  <c r="C6" i="5" s="1"/>
  <c r="C7" i="5" s="1"/>
  <c r="C8" i="5" s="1"/>
  <c r="C9" i="5" s="1"/>
  <c r="C10" i="5" s="1"/>
  <c r="C11" i="5" s="1"/>
  <c r="C12" i="5" s="1"/>
  <c r="C13" i="5" s="1"/>
  <c r="C14" i="5" s="1"/>
  <c r="C15" i="5" s="1"/>
  <c r="C16" i="5" s="1"/>
  <c r="C17" i="5" s="1"/>
  <c r="C18" i="5" s="1"/>
  <c r="C19" i="5" s="1"/>
  <c r="C20" i="5" s="1"/>
  <c r="C21" i="5" s="1"/>
  <c r="C22" i="5" s="1"/>
  <c r="C23" i="5" s="1"/>
  <c r="J199" i="2"/>
  <c r="J200" i="2"/>
  <c r="J186" i="2"/>
  <c r="J187" i="2"/>
  <c r="J173" i="2"/>
  <c r="J174" i="2"/>
  <c r="J160" i="2"/>
  <c r="J161" i="2"/>
  <c r="J147" i="2"/>
  <c r="J148" i="2"/>
  <c r="J134" i="2"/>
  <c r="J135" i="2"/>
  <c r="J121" i="2"/>
  <c r="J122" i="2"/>
  <c r="J108" i="2"/>
  <c r="J109" i="2"/>
  <c r="J95" i="2"/>
  <c r="J96" i="2"/>
  <c r="J82" i="2"/>
  <c r="J83" i="2"/>
  <c r="J69" i="2"/>
  <c r="J70" i="2"/>
  <c r="J56" i="2"/>
  <c r="J57" i="2"/>
  <c r="J43" i="2"/>
  <c r="J44" i="2"/>
  <c r="J30" i="2"/>
  <c r="J31" i="2"/>
  <c r="J17" i="2"/>
  <c r="J18" i="2"/>
  <c r="X30" i="2"/>
  <c r="Y30" i="2"/>
  <c r="Z30" i="2" s="1"/>
  <c r="X31" i="2"/>
  <c r="Y31" i="2" s="1"/>
  <c r="Z31" i="2" s="1"/>
  <c r="X43" i="2"/>
  <c r="Y43" i="2"/>
  <c r="Z43" i="2" s="1"/>
  <c r="X44" i="2"/>
  <c r="Y44" i="2" s="1"/>
  <c r="Z44" i="2" s="1"/>
  <c r="AA44" i="2" s="1"/>
  <c r="X56" i="2"/>
  <c r="Y56" i="2"/>
  <c r="Z56" i="2" s="1"/>
  <c r="X57" i="2"/>
  <c r="Y57" i="2" s="1"/>
  <c r="Z57" i="2" s="1"/>
  <c r="AA57" i="2" s="1"/>
  <c r="X69" i="2"/>
  <c r="Y69" i="2" s="1"/>
  <c r="Z69" i="2" s="1"/>
  <c r="AA69" i="2" s="1"/>
  <c r="X70" i="2"/>
  <c r="Y70" i="2"/>
  <c r="Z70" i="2" s="1"/>
  <c r="X82" i="2"/>
  <c r="Y82" i="2" s="1"/>
  <c r="Z82" i="2" s="1"/>
  <c r="AA82" i="2" s="1"/>
  <c r="X83" i="2"/>
  <c r="Y83" i="2" s="1"/>
  <c r="Z83" i="2" s="1"/>
  <c r="X95" i="2"/>
  <c r="Y95" i="2"/>
  <c r="Z95" i="2" s="1"/>
  <c r="AA95" i="2" s="1"/>
  <c r="X96" i="2"/>
  <c r="Y96" i="2"/>
  <c r="Z96" i="2" s="1"/>
  <c r="X108" i="2"/>
  <c r="Y108" i="2" s="1"/>
  <c r="Z108" i="2" s="1"/>
  <c r="X109" i="2"/>
  <c r="Y109" i="2"/>
  <c r="Z109" i="2" s="1"/>
  <c r="X121" i="2"/>
  <c r="Y121" i="2" s="1"/>
  <c r="Z121" i="2" s="1"/>
  <c r="AA121" i="2" s="1"/>
  <c r="X122" i="2"/>
  <c r="Y122" i="2" s="1"/>
  <c r="Z122" i="2" s="1"/>
  <c r="X134" i="2"/>
  <c r="Y134" i="2"/>
  <c r="Z134" i="2" s="1"/>
  <c r="AA134" i="2" s="1"/>
  <c r="X135" i="2"/>
  <c r="Y135" i="2"/>
  <c r="Z135" i="2" s="1"/>
  <c r="AA135" i="2" s="1"/>
  <c r="X147" i="2"/>
  <c r="Y147" i="2" s="1"/>
  <c r="Z147" i="2" s="1"/>
  <c r="X148" i="2"/>
  <c r="Y148" i="2" s="1"/>
  <c r="Z148" i="2" s="1"/>
  <c r="AA148" i="2" s="1"/>
  <c r="X160" i="2"/>
  <c r="Y160" i="2" s="1"/>
  <c r="Z160" i="2" s="1"/>
  <c r="AA160" i="2" s="1"/>
  <c r="X161" i="2"/>
  <c r="Y161" i="2" s="1"/>
  <c r="Z161" i="2" s="1"/>
  <c r="AA161" i="2" s="1"/>
  <c r="X173" i="2"/>
  <c r="Y173" i="2" s="1"/>
  <c r="Z173" i="2" s="1"/>
  <c r="AA173" i="2" s="1"/>
  <c r="X174" i="2"/>
  <c r="X186" i="2"/>
  <c r="Y186" i="2"/>
  <c r="Z186" i="2" s="1"/>
  <c r="X187" i="2"/>
  <c r="Y187" i="2" s="1"/>
  <c r="Z187" i="2" s="1"/>
  <c r="X199" i="2"/>
  <c r="Y199" i="2"/>
  <c r="Z199" i="2" s="1"/>
  <c r="AA199" i="2" s="1"/>
  <c r="X200" i="2"/>
  <c r="Y200" i="2"/>
  <c r="Z200" i="2" s="1"/>
  <c r="X212" i="2"/>
  <c r="Y212" i="2" s="1"/>
  <c r="Z212" i="2" s="1"/>
  <c r="X213" i="2"/>
  <c r="Y213" i="2" s="1"/>
  <c r="Z213" i="2" s="1"/>
  <c r="J226" i="2"/>
  <c r="J213" i="2"/>
  <c r="J212" i="2"/>
  <c r="J222" i="2"/>
  <c r="J215" i="2"/>
  <c r="J216" i="2"/>
  <c r="J219" i="2"/>
  <c r="J223" i="2"/>
  <c r="I2" i="12"/>
  <c r="B118" i="12"/>
  <c r="B119" i="12"/>
  <c r="B120" i="12" s="1"/>
  <c r="B121" i="12" s="1"/>
  <c r="B122" i="12" s="1"/>
  <c r="B123" i="12" s="1"/>
  <c r="B124" i="12" s="1"/>
  <c r="B125" i="12" s="1"/>
  <c r="B126" i="12" s="1"/>
  <c r="B127" i="12" s="1"/>
  <c r="B128" i="12" s="1"/>
  <c r="B129" i="12" s="1"/>
  <c r="G221" i="2"/>
  <c r="G234" i="2"/>
  <c r="H13" i="2"/>
  <c r="H14" i="2"/>
  <c r="G220" i="2"/>
  <c r="G233" i="2" s="1"/>
  <c r="J233" i="2" s="1"/>
  <c r="H12" i="2"/>
  <c r="C18" i="24"/>
  <c r="D19" i="24" s="1"/>
  <c r="X22" i="26" s="1"/>
  <c r="F1" i="24"/>
  <c r="F2" i="24"/>
  <c r="C20" i="24"/>
  <c r="D20" i="24" s="1"/>
  <c r="E21" i="24"/>
  <c r="E20" i="24"/>
  <c r="F21" i="24"/>
  <c r="Y24" i="26" s="1"/>
  <c r="D86" i="4"/>
  <c r="E86" i="4"/>
  <c r="F86" i="4"/>
  <c r="G86" i="4"/>
  <c r="H86" i="4"/>
  <c r="I86" i="4"/>
  <c r="J86" i="4"/>
  <c r="K86" i="4"/>
  <c r="L86" i="4"/>
  <c r="M86" i="4"/>
  <c r="N86" i="4"/>
  <c r="O86" i="4"/>
  <c r="P86" i="4"/>
  <c r="Q86" i="4"/>
  <c r="R86" i="4"/>
  <c r="S86" i="4"/>
  <c r="T86" i="4"/>
  <c r="U86" i="4"/>
  <c r="V86" i="4"/>
  <c r="W86" i="4"/>
  <c r="X86" i="4"/>
  <c r="Y86" i="4"/>
  <c r="Z86" i="4"/>
  <c r="AA86" i="4"/>
  <c r="AB86" i="4"/>
  <c r="AC86" i="4"/>
  <c r="AD86" i="4"/>
  <c r="C86" i="4"/>
  <c r="O80" i="4"/>
  <c r="P80" i="4"/>
  <c r="Q80" i="4"/>
  <c r="R80" i="4"/>
  <c r="S80" i="4"/>
  <c r="T80" i="4"/>
  <c r="U80" i="4"/>
  <c r="V80" i="4"/>
  <c r="V81" i="4" s="1"/>
  <c r="W81" i="4" s="1"/>
  <c r="X81" i="4" s="1"/>
  <c r="Y81" i="4" s="1"/>
  <c r="Z81" i="4" s="1"/>
  <c r="AA81" i="4" s="1"/>
  <c r="AB81" i="4" s="1"/>
  <c r="AC81" i="4" s="1"/>
  <c r="AD81" i="4" s="1"/>
  <c r="AE81" i="4" s="1"/>
  <c r="AF81" i="4" s="1"/>
  <c r="AG81" i="4" s="1"/>
  <c r="AH81" i="4" s="1"/>
  <c r="AI81" i="4" s="1"/>
  <c r="W80" i="4"/>
  <c r="X80" i="4"/>
  <c r="Y80" i="4"/>
  <c r="Z80" i="4"/>
  <c r="AA80" i="4"/>
  <c r="AB80" i="4"/>
  <c r="AC80" i="4"/>
  <c r="AD80" i="4"/>
  <c r="AE80" i="4"/>
  <c r="N80" i="4"/>
  <c r="M80" i="4"/>
  <c r="L80" i="4"/>
  <c r="K80" i="4"/>
  <c r="J80" i="4"/>
  <c r="I80" i="4"/>
  <c r="H80" i="4"/>
  <c r="G80" i="4"/>
  <c r="F80" i="4"/>
  <c r="E80" i="4"/>
  <c r="D80" i="4"/>
  <c r="C80" i="4"/>
  <c r="L23" i="4"/>
  <c r="K23" i="4"/>
  <c r="J23" i="4"/>
  <c r="I23" i="4"/>
  <c r="H23" i="4"/>
  <c r="G23" i="4"/>
  <c r="F23" i="4"/>
  <c r="E23" i="4"/>
  <c r="D23" i="4"/>
  <c r="C23" i="4"/>
  <c r="D18" i="4"/>
  <c r="E18" i="4"/>
  <c r="F18" i="4"/>
  <c r="G18" i="4"/>
  <c r="H18" i="4"/>
  <c r="I18" i="4"/>
  <c r="J18" i="4"/>
  <c r="K18" i="4"/>
  <c r="L18" i="4"/>
  <c r="P18" i="4" s="1"/>
  <c r="M18" i="4"/>
  <c r="C18" i="4"/>
  <c r="C17" i="26"/>
  <c r="H18" i="26"/>
  <c r="H19" i="26"/>
  <c r="H20" i="26"/>
  <c r="H21" i="26"/>
  <c r="H22" i="26"/>
  <c r="H23" i="26"/>
  <c r="H24" i="26"/>
  <c r="H25" i="26"/>
  <c r="H26" i="26"/>
  <c r="H27" i="26"/>
  <c r="H17" i="26"/>
  <c r="M18" i="26"/>
  <c r="M19" i="26"/>
  <c r="M20" i="26"/>
  <c r="M21" i="26"/>
  <c r="M22" i="26"/>
  <c r="M23" i="26"/>
  <c r="M24" i="26"/>
  <c r="M25" i="26"/>
  <c r="M26" i="26"/>
  <c r="M27" i="26"/>
  <c r="M17" i="26"/>
  <c r="U5" i="26"/>
  <c r="T5" i="26"/>
  <c r="S5" i="26"/>
  <c r="Z5" i="26"/>
  <c r="Y5" i="26"/>
  <c r="R18" i="26"/>
  <c r="R19" i="26"/>
  <c r="R20" i="26"/>
  <c r="R21" i="26"/>
  <c r="R22" i="26"/>
  <c r="R23" i="26"/>
  <c r="R24" i="26"/>
  <c r="R25" i="26"/>
  <c r="R26" i="26"/>
  <c r="R27" i="26"/>
  <c r="R17" i="26"/>
  <c r="W18" i="26"/>
  <c r="W19" i="26"/>
  <c r="W20" i="26"/>
  <c r="W21" i="26"/>
  <c r="W22" i="26"/>
  <c r="W23" i="26"/>
  <c r="W24" i="26"/>
  <c r="W25" i="26"/>
  <c r="W26" i="26"/>
  <c r="W27" i="26"/>
  <c r="W17" i="26"/>
  <c r="X5" i="26"/>
  <c r="J188" i="2"/>
  <c r="X188" i="2"/>
  <c r="Y188" i="2" s="1"/>
  <c r="Z188" i="2" s="1"/>
  <c r="J189" i="2"/>
  <c r="X189" i="2"/>
  <c r="Y189" i="2" s="1"/>
  <c r="Z189" i="2" s="1"/>
  <c r="J190" i="2"/>
  <c r="X190" i="2"/>
  <c r="Y190" i="2" s="1"/>
  <c r="Z190" i="2" s="1"/>
  <c r="AA190" i="2" s="1"/>
  <c r="J191" i="2"/>
  <c r="X191" i="2"/>
  <c r="Y191" i="2"/>
  <c r="Z191" i="2" s="1"/>
  <c r="AA191" i="2" s="1"/>
  <c r="J192" i="2"/>
  <c r="X192" i="2"/>
  <c r="Y192" i="2" s="1"/>
  <c r="Z192" i="2" s="1"/>
  <c r="AA192" i="2" s="1"/>
  <c r="J193" i="2"/>
  <c r="X193" i="2"/>
  <c r="Y193" i="2"/>
  <c r="Z193" i="2" s="1"/>
  <c r="AA193" i="2" s="1"/>
  <c r="J194" i="2"/>
  <c r="X194" i="2"/>
  <c r="Y194" i="2" s="1"/>
  <c r="Z194" i="2" s="1"/>
  <c r="J195" i="2"/>
  <c r="X195" i="2"/>
  <c r="Y195" i="2" s="1"/>
  <c r="Z195" i="2" s="1"/>
  <c r="AA195" i="2" s="1"/>
  <c r="J196" i="2"/>
  <c r="X196" i="2"/>
  <c r="Y196" i="2"/>
  <c r="Z196" i="2" s="1"/>
  <c r="J197" i="2"/>
  <c r="X197" i="2"/>
  <c r="Y197" i="2" s="1"/>
  <c r="Z197" i="2" s="1"/>
  <c r="AA197" i="2" s="1"/>
  <c r="J198" i="2"/>
  <c r="X198" i="2"/>
  <c r="Y198" i="2"/>
  <c r="Z198" i="2" s="1"/>
  <c r="J201" i="2"/>
  <c r="X201" i="2"/>
  <c r="Y201" i="2"/>
  <c r="Z201" i="2" s="1"/>
  <c r="J202" i="2"/>
  <c r="X202" i="2"/>
  <c r="Y202" i="2"/>
  <c r="Z202" i="2" s="1"/>
  <c r="J203" i="2"/>
  <c r="X203" i="2"/>
  <c r="Y203" i="2"/>
  <c r="Z203" i="2" s="1"/>
  <c r="AA203" i="2" s="1"/>
  <c r="J204" i="2"/>
  <c r="X204" i="2"/>
  <c r="Y204" i="2"/>
  <c r="Z204" i="2" s="1"/>
  <c r="AA204" i="2" s="1"/>
  <c r="J205" i="2"/>
  <c r="X205" i="2"/>
  <c r="Y205" i="2"/>
  <c r="Z205" i="2" s="1"/>
  <c r="AA205" i="2" s="1"/>
  <c r="J206" i="2"/>
  <c r="X206" i="2"/>
  <c r="Y206" i="2" s="1"/>
  <c r="Z206" i="2" s="1"/>
  <c r="AA206" i="2" s="1"/>
  <c r="J207" i="2"/>
  <c r="X207" i="2"/>
  <c r="Y207" i="2" s="1"/>
  <c r="Z207" i="2" s="1"/>
  <c r="AA207" i="2" s="1"/>
  <c r="J208" i="2"/>
  <c r="X208" i="2"/>
  <c r="Y208" i="2"/>
  <c r="Z208" i="2" s="1"/>
  <c r="AA208" i="2" s="1"/>
  <c r="J209" i="2"/>
  <c r="X209" i="2"/>
  <c r="Y209" i="2" s="1"/>
  <c r="Z209" i="2" s="1"/>
  <c r="AA209" i="2" s="1"/>
  <c r="J210" i="2"/>
  <c r="X210" i="2"/>
  <c r="Y210" i="2"/>
  <c r="Z210" i="2" s="1"/>
  <c r="J211" i="2"/>
  <c r="X211" i="2"/>
  <c r="Y211" i="2"/>
  <c r="Z211" i="2" s="1"/>
  <c r="I82" i="12"/>
  <c r="C117" i="12" s="1"/>
  <c r="D17" i="26"/>
  <c r="E17" i="26"/>
  <c r="C13" i="22"/>
  <c r="H13" i="22" s="1"/>
  <c r="H7" i="22"/>
  <c r="Q16" i="3"/>
  <c r="Q17" i="3"/>
  <c r="Q18" i="3"/>
  <c r="Q19" i="3"/>
  <c r="Q20" i="3"/>
  <c r="Q21" i="3"/>
  <c r="Q22" i="3"/>
  <c r="Q23" i="3"/>
  <c r="Q24" i="3"/>
  <c r="Q25" i="3"/>
  <c r="Q15" i="3"/>
  <c r="R17" i="3"/>
  <c r="R18" i="3"/>
  <c r="R19" i="3"/>
  <c r="R20" i="3"/>
  <c r="R21" i="3"/>
  <c r="R22" i="3"/>
  <c r="R23" i="3"/>
  <c r="R24" i="3"/>
  <c r="R25" i="3"/>
  <c r="E2" i="12"/>
  <c r="D2" i="12"/>
  <c r="E14" i="24"/>
  <c r="F15" i="24" s="1"/>
  <c r="E15" i="24"/>
  <c r="E16" i="24"/>
  <c r="E17" i="24"/>
  <c r="F17" i="24" s="1"/>
  <c r="Y20" i="26" s="1"/>
  <c r="E18" i="24"/>
  <c r="E19" i="24"/>
  <c r="F19" i="24" s="1"/>
  <c r="Y22" i="26" s="1"/>
  <c r="E22" i="24"/>
  <c r="E23" i="24"/>
  <c r="F23" i="24" s="1"/>
  <c r="Y26" i="26" s="1"/>
  <c r="E24" i="24"/>
  <c r="F25" i="24"/>
  <c r="Y28" i="26" s="1"/>
  <c r="C14" i="24"/>
  <c r="C15" i="24"/>
  <c r="D15" i="24"/>
  <c r="C17" i="24"/>
  <c r="D17" i="24" s="1"/>
  <c r="X20" i="26" s="1"/>
  <c r="D18" i="24"/>
  <c r="X21" i="26" s="1"/>
  <c r="C19" i="24"/>
  <c r="C23" i="24"/>
  <c r="X17" i="26"/>
  <c r="Y17" i="26"/>
  <c r="F22" i="24"/>
  <c r="F16" i="24"/>
  <c r="Y19" i="26" s="1"/>
  <c r="F24" i="24"/>
  <c r="Y27" i="26" s="1"/>
  <c r="B228" i="2"/>
  <c r="B229" i="2" s="1"/>
  <c r="B230" i="2" s="1"/>
  <c r="B231" i="2" s="1"/>
  <c r="B232" i="2" s="1"/>
  <c r="B233" i="2" s="1"/>
  <c r="B234" i="2" s="1"/>
  <c r="B235" i="2" s="1"/>
  <c r="B236" i="2" s="1"/>
  <c r="B237" i="2" s="1"/>
  <c r="B238" i="2" s="1"/>
  <c r="B239" i="2" s="1"/>
  <c r="B176" i="2"/>
  <c r="B177" i="2" s="1"/>
  <c r="B178" i="2" s="1"/>
  <c r="B179" i="2" s="1"/>
  <c r="B180" i="2" s="1"/>
  <c r="B181" i="2" s="1"/>
  <c r="B182" i="2" s="1"/>
  <c r="B183" i="2" s="1"/>
  <c r="B184" i="2" s="1"/>
  <c r="B185" i="2" s="1"/>
  <c r="B186" i="2" s="1"/>
  <c r="B187" i="2" s="1"/>
  <c r="B111" i="2"/>
  <c r="B112" i="2" s="1"/>
  <c r="B113" i="2" s="1"/>
  <c r="B114" i="2" s="1"/>
  <c r="B115" i="2" s="1"/>
  <c r="B116" i="2" s="1"/>
  <c r="B117" i="2" s="1"/>
  <c r="B118" i="2" s="1"/>
  <c r="B119" i="2" s="1"/>
  <c r="B120" i="2" s="1"/>
  <c r="B121" i="2" s="1"/>
  <c r="B122" i="2" s="1"/>
  <c r="B72" i="2"/>
  <c r="B73" i="2" s="1"/>
  <c r="B74" i="2" s="1"/>
  <c r="B75" i="2" s="1"/>
  <c r="B76" i="2" s="1"/>
  <c r="B77" i="2" s="1"/>
  <c r="B78" i="2" s="1"/>
  <c r="B79" i="2" s="1"/>
  <c r="B80" i="2" s="1"/>
  <c r="B81" i="2" s="1"/>
  <c r="B82" i="2" s="1"/>
  <c r="B83" i="2" s="1"/>
  <c r="B59" i="2"/>
  <c r="B60" i="2" s="1"/>
  <c r="B61" i="2" s="1"/>
  <c r="B62" i="2" s="1"/>
  <c r="B63" i="2" s="1"/>
  <c r="B64" i="2" s="1"/>
  <c r="B65" i="2" s="1"/>
  <c r="B66" i="2" s="1"/>
  <c r="B67" i="2" s="1"/>
  <c r="B68" i="2" s="1"/>
  <c r="B69" i="2" s="1"/>
  <c r="B70" i="2" s="1"/>
  <c r="B20" i="2"/>
  <c r="B21" i="2" s="1"/>
  <c r="B22" i="2" s="1"/>
  <c r="B23" i="2" s="1"/>
  <c r="B24" i="2" s="1"/>
  <c r="B25" i="2" s="1"/>
  <c r="B26" i="2" s="1"/>
  <c r="B27" i="2" s="1"/>
  <c r="B28" i="2" s="1"/>
  <c r="B29" i="2" s="1"/>
  <c r="B30" i="2" s="1"/>
  <c r="B31" i="2" s="1"/>
  <c r="J185" i="2"/>
  <c r="J184" i="2"/>
  <c r="J183" i="2"/>
  <c r="J182" i="2"/>
  <c r="J181" i="2"/>
  <c r="J180" i="2"/>
  <c r="J179" i="2"/>
  <c r="J178" i="2"/>
  <c r="J177" i="2"/>
  <c r="J176" i="2"/>
  <c r="J175" i="2"/>
  <c r="J172" i="2"/>
  <c r="J171" i="2"/>
  <c r="J170" i="2"/>
  <c r="J169" i="2"/>
  <c r="J168" i="2"/>
  <c r="J167" i="2"/>
  <c r="J166" i="2"/>
  <c r="J165" i="2"/>
  <c r="J164" i="2"/>
  <c r="J163" i="2"/>
  <c r="J162" i="2"/>
  <c r="J159" i="2"/>
  <c r="J158" i="2"/>
  <c r="J157" i="2"/>
  <c r="J156" i="2"/>
  <c r="J155" i="2"/>
  <c r="J154" i="2"/>
  <c r="J153" i="2"/>
  <c r="J152" i="2"/>
  <c r="J151" i="2"/>
  <c r="J150" i="2"/>
  <c r="J149" i="2"/>
  <c r="J146" i="2"/>
  <c r="J145" i="2"/>
  <c r="J144" i="2"/>
  <c r="J143" i="2"/>
  <c r="J142" i="2"/>
  <c r="J141" i="2"/>
  <c r="J140" i="2"/>
  <c r="J139" i="2"/>
  <c r="J138" i="2"/>
  <c r="J137" i="2"/>
  <c r="J136" i="2"/>
  <c r="J133" i="2"/>
  <c r="J132" i="2"/>
  <c r="J131" i="2"/>
  <c r="J130" i="2"/>
  <c r="J129" i="2"/>
  <c r="J128" i="2"/>
  <c r="J127" i="2"/>
  <c r="J126" i="2"/>
  <c r="J125" i="2"/>
  <c r="J124" i="2"/>
  <c r="J123" i="2"/>
  <c r="J120" i="2"/>
  <c r="J119" i="2"/>
  <c r="J118" i="2"/>
  <c r="J117" i="2"/>
  <c r="J116" i="2"/>
  <c r="J115" i="2"/>
  <c r="J114" i="2"/>
  <c r="J113" i="2"/>
  <c r="J112" i="2"/>
  <c r="J111" i="2"/>
  <c r="J110" i="2"/>
  <c r="J107" i="2"/>
  <c r="J106" i="2"/>
  <c r="J105" i="2"/>
  <c r="J104" i="2"/>
  <c r="J103" i="2"/>
  <c r="J102" i="2"/>
  <c r="J101" i="2"/>
  <c r="J100" i="2"/>
  <c r="J99" i="2"/>
  <c r="J98" i="2"/>
  <c r="J97" i="2"/>
  <c r="J94" i="2"/>
  <c r="J93" i="2"/>
  <c r="J92" i="2"/>
  <c r="J91" i="2"/>
  <c r="J90" i="2"/>
  <c r="J89" i="2"/>
  <c r="J88" i="2"/>
  <c r="J87" i="2"/>
  <c r="J86" i="2"/>
  <c r="J85" i="2"/>
  <c r="J84" i="2"/>
  <c r="J81" i="2"/>
  <c r="J80" i="2"/>
  <c r="J79" i="2"/>
  <c r="J78" i="2"/>
  <c r="J77" i="2"/>
  <c r="J76" i="2"/>
  <c r="J75" i="2"/>
  <c r="J74" i="2"/>
  <c r="J73" i="2"/>
  <c r="J72" i="2"/>
  <c r="J71" i="2"/>
  <c r="J68" i="2"/>
  <c r="J67" i="2"/>
  <c r="J66" i="2"/>
  <c r="J65" i="2"/>
  <c r="J64" i="2"/>
  <c r="J63" i="2"/>
  <c r="J62" i="2"/>
  <c r="J61" i="2"/>
  <c r="J60" i="2"/>
  <c r="J59" i="2"/>
  <c r="J58" i="2"/>
  <c r="J55" i="2"/>
  <c r="J54" i="2"/>
  <c r="J53" i="2"/>
  <c r="J52" i="2"/>
  <c r="J51" i="2"/>
  <c r="J50" i="2"/>
  <c r="J49" i="2"/>
  <c r="J48" i="2"/>
  <c r="J47" i="2"/>
  <c r="J46" i="2"/>
  <c r="J45" i="2"/>
  <c r="J42" i="2"/>
  <c r="J41" i="2"/>
  <c r="J40" i="2"/>
  <c r="J39" i="2"/>
  <c r="J38" i="2"/>
  <c r="J37" i="2"/>
  <c r="J36" i="2"/>
  <c r="J35" i="2"/>
  <c r="J34" i="2"/>
  <c r="J33" i="2"/>
  <c r="J29" i="2"/>
  <c r="J28" i="2"/>
  <c r="J27" i="2"/>
  <c r="J26" i="2"/>
  <c r="J25" i="2"/>
  <c r="J24" i="2"/>
  <c r="J23" i="2"/>
  <c r="J22" i="2"/>
  <c r="J21" i="2"/>
  <c r="J20" i="2"/>
  <c r="J19" i="2"/>
  <c r="J16" i="2"/>
  <c r="J15" i="2"/>
  <c r="J14" i="2"/>
  <c r="J13" i="2"/>
  <c r="J12" i="2"/>
  <c r="J11" i="2"/>
  <c r="J10" i="2"/>
  <c r="J9" i="2"/>
  <c r="J8" i="2"/>
  <c r="J7" i="2"/>
  <c r="J6" i="2"/>
  <c r="J32" i="2"/>
  <c r="Y25" i="26"/>
  <c r="B124" i="2"/>
  <c r="B125" i="2"/>
  <c r="B126" i="2" s="1"/>
  <c r="B127" i="2" s="1"/>
  <c r="B128" i="2" s="1"/>
  <c r="B129" i="2" s="1"/>
  <c r="B130" i="2" s="1"/>
  <c r="B131" i="2" s="1"/>
  <c r="B132" i="2" s="1"/>
  <c r="B133" i="2" s="1"/>
  <c r="B134" i="2" s="1"/>
  <c r="B135" i="2" s="1"/>
  <c r="Q1" i="2"/>
  <c r="R16" i="3"/>
  <c r="R15" i="3"/>
  <c r="X172" i="2"/>
  <c r="X171" i="2"/>
  <c r="Y171" i="2"/>
  <c r="Z171" i="2" s="1"/>
  <c r="X170" i="2"/>
  <c r="Y170" i="2" s="1"/>
  <c r="Z170" i="2" s="1"/>
  <c r="X169" i="2"/>
  <c r="Y169" i="2"/>
  <c r="Z169" i="2" s="1"/>
  <c r="X168" i="2"/>
  <c r="Y168" i="2"/>
  <c r="Z168" i="2" s="1"/>
  <c r="X167" i="2"/>
  <c r="Y167" i="2" s="1"/>
  <c r="Z167" i="2" s="1"/>
  <c r="X166" i="2"/>
  <c r="Y166" i="2" s="1"/>
  <c r="Z166" i="2" s="1"/>
  <c r="X165" i="2"/>
  <c r="Y165" i="2"/>
  <c r="Z165" i="2" s="1"/>
  <c r="X164" i="2"/>
  <c r="Y164" i="2" s="1"/>
  <c r="Z164" i="2" s="1"/>
  <c r="X163" i="2"/>
  <c r="Y163" i="2"/>
  <c r="Z163" i="2" s="1"/>
  <c r="AA163" i="2" s="1"/>
  <c r="X162" i="2"/>
  <c r="Y162" i="2"/>
  <c r="X146" i="2"/>
  <c r="Y146" i="2"/>
  <c r="Z146" i="2" s="1"/>
  <c r="X145" i="2"/>
  <c r="Y145" i="2" s="1"/>
  <c r="Z145" i="2" s="1"/>
  <c r="X144" i="2"/>
  <c r="Y144" i="2"/>
  <c r="Z144" i="2" s="1"/>
  <c r="X143" i="2"/>
  <c r="Y143" i="2" s="1"/>
  <c r="Z143" i="2" s="1"/>
  <c r="X142" i="2"/>
  <c r="Y142" i="2"/>
  <c r="Z142" i="2" s="1"/>
  <c r="X141" i="2"/>
  <c r="Y141" i="2" s="1"/>
  <c r="Z141" i="2" s="1"/>
  <c r="AA141" i="2" s="1"/>
  <c r="X140" i="2"/>
  <c r="Y140" i="2" s="1"/>
  <c r="Z140" i="2" s="1"/>
  <c r="X139" i="2"/>
  <c r="Y139" i="2"/>
  <c r="Z139" i="2" s="1"/>
  <c r="X138" i="2"/>
  <c r="Y138" i="2" s="1"/>
  <c r="Z138" i="2" s="1"/>
  <c r="AA138" i="2" s="1"/>
  <c r="X137" i="2"/>
  <c r="Y137" i="2"/>
  <c r="Z137" i="2" s="1"/>
  <c r="X136" i="2"/>
  <c r="Y136" i="2"/>
  <c r="Z136" i="2" s="1"/>
  <c r="X94" i="2"/>
  <c r="Y94" i="2" s="1"/>
  <c r="Z94" i="2" s="1"/>
  <c r="AA94" i="2" s="1"/>
  <c r="X93" i="2"/>
  <c r="Y93" i="2" s="1"/>
  <c r="Z93" i="2" s="1"/>
  <c r="X92" i="2"/>
  <c r="Y92" i="2"/>
  <c r="Z92" i="2" s="1"/>
  <c r="X91" i="2"/>
  <c r="Y91" i="2" s="1"/>
  <c r="Z91" i="2" s="1"/>
  <c r="X90" i="2"/>
  <c r="Y90" i="2"/>
  <c r="Z90" i="2" s="1"/>
  <c r="AA90" i="2" s="1"/>
  <c r="X89" i="2"/>
  <c r="Y89" i="2" s="1"/>
  <c r="Z89" i="2" s="1"/>
  <c r="X88" i="2"/>
  <c r="Y88" i="2" s="1"/>
  <c r="Z88" i="2" s="1"/>
  <c r="X87" i="2"/>
  <c r="Y87" i="2"/>
  <c r="Z87" i="2" s="1"/>
  <c r="AA87" i="2" s="1"/>
  <c r="X86" i="2"/>
  <c r="Y86" i="2"/>
  <c r="Z86" i="2" s="1"/>
  <c r="X85" i="2"/>
  <c r="Y85" i="2" s="1"/>
  <c r="Z85" i="2" s="1"/>
  <c r="AA85" i="2" s="1"/>
  <c r="X84" i="2"/>
  <c r="Y84" i="2" s="1"/>
  <c r="Z84" i="2" s="1"/>
  <c r="AA84" i="2" s="1"/>
  <c r="X120" i="2"/>
  <c r="Y120" i="2" s="1"/>
  <c r="Z120" i="2" s="1"/>
  <c r="X119" i="2"/>
  <c r="Y119" i="2"/>
  <c r="Z119" i="2" s="1"/>
  <c r="X118" i="2"/>
  <c r="Y118" i="2" s="1"/>
  <c r="Z118" i="2" s="1"/>
  <c r="AA118" i="2" s="1"/>
  <c r="X117" i="2"/>
  <c r="Y117" i="2" s="1"/>
  <c r="Z117" i="2" s="1"/>
  <c r="X116" i="2"/>
  <c r="Y116" i="2"/>
  <c r="Z116" i="2" s="1"/>
  <c r="X115" i="2"/>
  <c r="Y115" i="2" s="1"/>
  <c r="Z115" i="2" s="1"/>
  <c r="AA115" i="2" s="1"/>
  <c r="X114" i="2"/>
  <c r="Y114" i="2" s="1"/>
  <c r="Z114" i="2" s="1"/>
  <c r="AA114" i="2" s="1"/>
  <c r="X113" i="2"/>
  <c r="Y113" i="2" s="1"/>
  <c r="Z113" i="2" s="1"/>
  <c r="X112" i="2"/>
  <c r="Y112" i="2" s="1"/>
  <c r="Z112" i="2" s="1"/>
  <c r="AA112" i="2" s="1"/>
  <c r="X111" i="2"/>
  <c r="Y111" i="2" s="1"/>
  <c r="Z111" i="2" s="1"/>
  <c r="AA111" i="2" s="1"/>
  <c r="AB111" i="2" s="1"/>
  <c r="X110" i="2"/>
  <c r="Y110" i="2"/>
  <c r="Z110" i="2" s="1"/>
  <c r="AA110" i="2" s="1"/>
  <c r="X185" i="2"/>
  <c r="X184" i="2"/>
  <c r="X183" i="2"/>
  <c r="Y183" i="2" s="1"/>
  <c r="Z183" i="2" s="1"/>
  <c r="AA183" i="2" s="1"/>
  <c r="X182" i="2"/>
  <c r="Y182" i="2" s="1"/>
  <c r="Z182" i="2" s="1"/>
  <c r="X181" i="2"/>
  <c r="X180" i="2"/>
  <c r="Y180" i="2" s="1"/>
  <c r="Z180" i="2" s="1"/>
  <c r="AA180" i="2" s="1"/>
  <c r="X179" i="2"/>
  <c r="Y179" i="2"/>
  <c r="Z179" i="2" s="1"/>
  <c r="X178" i="2"/>
  <c r="Y178" i="2"/>
  <c r="X177" i="2"/>
  <c r="Y177" i="2"/>
  <c r="Z177" i="2" s="1"/>
  <c r="X176" i="2"/>
  <c r="Y176" i="2" s="1"/>
  <c r="Z176" i="2" s="1"/>
  <c r="X175" i="2"/>
  <c r="X159" i="2"/>
  <c r="Y159" i="2" s="1"/>
  <c r="Z159" i="2" s="1"/>
  <c r="X158" i="2"/>
  <c r="Y158" i="2" s="1"/>
  <c r="Z158" i="2" s="1"/>
  <c r="X157" i="2"/>
  <c r="Y157" i="2"/>
  <c r="Z157" i="2" s="1"/>
  <c r="X156" i="2"/>
  <c r="Y156" i="2" s="1"/>
  <c r="Z156" i="2" s="1"/>
  <c r="X155" i="2"/>
  <c r="Y155" i="2"/>
  <c r="Z155" i="2" s="1"/>
  <c r="X154" i="2"/>
  <c r="Y154" i="2" s="1"/>
  <c r="Z154" i="2" s="1"/>
  <c r="X153" i="2"/>
  <c r="Y153" i="2" s="1"/>
  <c r="Z153" i="2" s="1"/>
  <c r="X152" i="2"/>
  <c r="Y152" i="2"/>
  <c r="Z152" i="2" s="1"/>
  <c r="X151" i="2"/>
  <c r="Y151" i="2" s="1"/>
  <c r="Z151" i="2" s="1"/>
  <c r="AA151" i="2" s="1"/>
  <c r="X150" i="2"/>
  <c r="Y150" i="2" s="1"/>
  <c r="Z150" i="2" s="1"/>
  <c r="X149" i="2"/>
  <c r="Y149" i="2"/>
  <c r="Z149" i="2" s="1"/>
  <c r="X133" i="2"/>
  <c r="Y133" i="2" s="1"/>
  <c r="Z133" i="2" s="1"/>
  <c r="X132" i="2"/>
  <c r="Y132" i="2"/>
  <c r="Z132" i="2" s="1"/>
  <c r="AA132" i="2" s="1"/>
  <c r="X131" i="2"/>
  <c r="Y131" i="2"/>
  <c r="Z131" i="2" s="1"/>
  <c r="X130" i="2"/>
  <c r="Y130" i="2" s="1"/>
  <c r="Z130" i="2" s="1"/>
  <c r="X129" i="2"/>
  <c r="Y129" i="2" s="1"/>
  <c r="Z129" i="2" s="1"/>
  <c r="AA129" i="2" s="1"/>
  <c r="X128" i="2"/>
  <c r="Y128" i="2"/>
  <c r="Z128" i="2" s="1"/>
  <c r="AA128" i="2" s="1"/>
  <c r="X127" i="2"/>
  <c r="Y127" i="2"/>
  <c r="Z127" i="2" s="1"/>
  <c r="AA127" i="2" s="1"/>
  <c r="X126" i="2"/>
  <c r="Y126" i="2"/>
  <c r="Z126" i="2" s="1"/>
  <c r="X125" i="2"/>
  <c r="Y125" i="2" s="1"/>
  <c r="Z125" i="2" s="1"/>
  <c r="X124" i="2"/>
  <c r="Y124" i="2"/>
  <c r="Z124" i="2" s="1"/>
  <c r="X123" i="2"/>
  <c r="Y123" i="2" s="1"/>
  <c r="Z123" i="2" s="1"/>
  <c r="AA123" i="2" s="1"/>
  <c r="X107" i="2"/>
  <c r="X106" i="2"/>
  <c r="X105" i="2"/>
  <c r="X104" i="2"/>
  <c r="Y104" i="2"/>
  <c r="X103" i="2"/>
  <c r="X102" i="2"/>
  <c r="X101" i="2"/>
  <c r="X100" i="2"/>
  <c r="Y100" i="2" s="1"/>
  <c r="Z100" i="2" s="1"/>
  <c r="X99" i="2"/>
  <c r="Y99" i="2"/>
  <c r="X98" i="2"/>
  <c r="Y98" i="2"/>
  <c r="Z98" i="2" s="1"/>
  <c r="X68" i="2"/>
  <c r="Y68" i="2" s="1"/>
  <c r="Z68" i="2" s="1"/>
  <c r="X67" i="2"/>
  <c r="Y67" i="2"/>
  <c r="Z67" i="2" s="1"/>
  <c r="X66" i="2"/>
  <c r="Y66" i="2"/>
  <c r="Z66" i="2" s="1"/>
  <c r="X65" i="2"/>
  <c r="Y65" i="2" s="1"/>
  <c r="Z65" i="2" s="1"/>
  <c r="AA65" i="2" s="1"/>
  <c r="X64" i="2"/>
  <c r="Y64" i="2" s="1"/>
  <c r="Z64" i="2" s="1"/>
  <c r="X63" i="2"/>
  <c r="Y63" i="2"/>
  <c r="Z63" i="2" s="1"/>
  <c r="X62" i="2"/>
  <c r="Y62" i="2" s="1"/>
  <c r="Z62" i="2" s="1"/>
  <c r="X61" i="2"/>
  <c r="Y61" i="2" s="1"/>
  <c r="Z61" i="2" s="1"/>
  <c r="X60" i="2"/>
  <c r="Y60" i="2"/>
  <c r="Z60" i="2" s="1"/>
  <c r="X59" i="2"/>
  <c r="Y59" i="2" s="1"/>
  <c r="Z59" i="2" s="1"/>
  <c r="AA59" i="2" s="1"/>
  <c r="X58" i="2"/>
  <c r="Y58" i="2" s="1"/>
  <c r="Z58" i="2" s="1"/>
  <c r="X42" i="2"/>
  <c r="X41" i="2"/>
  <c r="Y41" i="2" s="1"/>
  <c r="Z41" i="2" s="1"/>
  <c r="X40" i="2"/>
  <c r="Y40" i="2"/>
  <c r="Z40" i="2" s="1"/>
  <c r="X39" i="2"/>
  <c r="Y39" i="2"/>
  <c r="Z39" i="2" s="1"/>
  <c r="X38" i="2"/>
  <c r="Y38" i="2" s="1"/>
  <c r="Z38" i="2" s="1"/>
  <c r="X37" i="2"/>
  <c r="Y37" i="2"/>
  <c r="Z37" i="2" s="1"/>
  <c r="X36" i="2"/>
  <c r="Y36" i="2" s="1"/>
  <c r="Z36" i="2" s="1"/>
  <c r="X35" i="2"/>
  <c r="Y35" i="2"/>
  <c r="Z35" i="2" s="1"/>
  <c r="AA35" i="2" s="1"/>
  <c r="X34" i="2"/>
  <c r="Y34" i="2"/>
  <c r="Z34" i="2" s="1"/>
  <c r="X33" i="2"/>
  <c r="Y33" i="2" s="1"/>
  <c r="Z33" i="2" s="1"/>
  <c r="X32" i="2"/>
  <c r="X81" i="2"/>
  <c r="Y81" i="2" s="1"/>
  <c r="Z81" i="2" s="1"/>
  <c r="X80" i="2"/>
  <c r="Y80" i="2"/>
  <c r="Z80" i="2" s="1"/>
  <c r="X79" i="2"/>
  <c r="Y79" i="2" s="1"/>
  <c r="Z79" i="2" s="1"/>
  <c r="X78" i="2"/>
  <c r="Y78" i="2"/>
  <c r="Z78" i="2" s="1"/>
  <c r="AA78" i="2" s="1"/>
  <c r="X77" i="2"/>
  <c r="Y77" i="2"/>
  <c r="Z77" i="2" s="1"/>
  <c r="X76" i="2"/>
  <c r="Y76" i="2" s="1"/>
  <c r="Z76" i="2" s="1"/>
  <c r="X75" i="2"/>
  <c r="Y75" i="2"/>
  <c r="Z75" i="2" s="1"/>
  <c r="AA75" i="2" s="1"/>
  <c r="X74" i="2"/>
  <c r="Y74" i="2"/>
  <c r="Z74" i="2" s="1"/>
  <c r="X73" i="2"/>
  <c r="Y73" i="2" s="1"/>
  <c r="Z73" i="2" s="1"/>
  <c r="X72" i="2"/>
  <c r="Y72" i="2"/>
  <c r="Z72" i="2" s="1"/>
  <c r="X71" i="2"/>
  <c r="Y71" i="2" s="1"/>
  <c r="Z71" i="2" s="1"/>
  <c r="X55" i="2"/>
  <c r="Y55" i="2"/>
  <c r="Z55" i="2" s="1"/>
  <c r="X54" i="2"/>
  <c r="Y54" i="2" s="1"/>
  <c r="Z54" i="2" s="1"/>
  <c r="X53" i="2"/>
  <c r="Y53" i="2"/>
  <c r="Z53" i="2" s="1"/>
  <c r="AA53" i="2" s="1"/>
  <c r="X52" i="2"/>
  <c r="Y52" i="2" s="1"/>
  <c r="Z52" i="2" s="1"/>
  <c r="X51" i="2"/>
  <c r="Y51" i="2"/>
  <c r="Z51" i="2" s="1"/>
  <c r="AA51" i="2" s="1"/>
  <c r="X50" i="2"/>
  <c r="Y50" i="2"/>
  <c r="Z50" i="2" s="1"/>
  <c r="X49" i="2"/>
  <c r="Y49" i="2" s="1"/>
  <c r="Z49" i="2" s="1"/>
  <c r="X48" i="2"/>
  <c r="Y48" i="2"/>
  <c r="Z48" i="2" s="1"/>
  <c r="AA48" i="2" s="1"/>
  <c r="X47" i="2"/>
  <c r="Y47" i="2"/>
  <c r="Z47" i="2" s="1"/>
  <c r="X46" i="2"/>
  <c r="Y46" i="2" s="1"/>
  <c r="Z46" i="2" s="1"/>
  <c r="X45" i="2"/>
  <c r="Y45" i="2"/>
  <c r="Z45" i="2" s="1"/>
  <c r="X29" i="2"/>
  <c r="Y29" i="2" s="1"/>
  <c r="Z29" i="2" s="1"/>
  <c r="X28" i="2"/>
  <c r="Y28" i="2"/>
  <c r="Z28" i="2" s="1"/>
  <c r="AA28" i="2" s="1"/>
  <c r="X27" i="2"/>
  <c r="Y27" i="2"/>
  <c r="Z27" i="2" s="1"/>
  <c r="X26" i="2"/>
  <c r="Y26" i="2" s="1"/>
  <c r="Z26" i="2" s="1"/>
  <c r="X25" i="2"/>
  <c r="Y25" i="2"/>
  <c r="Z25" i="2" s="1"/>
  <c r="AA25" i="2" s="1"/>
  <c r="X24" i="2"/>
  <c r="Y24" i="2"/>
  <c r="Z24" i="2" s="1"/>
  <c r="X23" i="2"/>
  <c r="Y23" i="2" s="1"/>
  <c r="Z23" i="2" s="1"/>
  <c r="X22" i="2"/>
  <c r="Y22" i="2"/>
  <c r="Z22" i="2" s="1"/>
  <c r="AB22" i="2" s="1"/>
  <c r="AC22" i="2" s="1"/>
  <c r="X21" i="2"/>
  <c r="Y21" i="2" s="1"/>
  <c r="Z21" i="2" s="1"/>
  <c r="X20" i="2"/>
  <c r="Y20" i="2"/>
  <c r="Z20" i="2" s="1"/>
  <c r="AA20" i="2" s="1"/>
  <c r="X19" i="2"/>
  <c r="Y19" i="2"/>
  <c r="Z19" i="2" s="1"/>
  <c r="C7" i="2"/>
  <c r="C8" i="2" s="1"/>
  <c r="C9" i="2" s="1"/>
  <c r="C10" i="2" s="1"/>
  <c r="C11" i="2" s="1"/>
  <c r="C12" i="2" s="1"/>
  <c r="C13" i="2" s="1"/>
  <c r="C14" i="2" s="1"/>
  <c r="C15" i="2" s="1"/>
  <c r="C16" i="2" s="1"/>
  <c r="C17" i="2" s="1"/>
  <c r="C18" i="2" s="1"/>
  <c r="C19" i="2" s="1"/>
  <c r="J227" i="2"/>
  <c r="J228" i="2"/>
  <c r="Z99" i="2"/>
  <c r="G13" i="22"/>
  <c r="E13" i="22"/>
  <c r="H11" i="22"/>
  <c r="H10" i="22"/>
  <c r="H9" i="22"/>
  <c r="H8" i="22"/>
  <c r="V87" i="4"/>
  <c r="W87" i="4"/>
  <c r="X87" i="4" s="1"/>
  <c r="Y87" i="4" s="1"/>
  <c r="Z87" i="4" s="1"/>
  <c r="AA87" i="4" s="1"/>
  <c r="AB87" i="4" s="1"/>
  <c r="AC87" i="4" s="1"/>
  <c r="AD87" i="4" s="1"/>
  <c r="AE87" i="4" s="1"/>
  <c r="AF87" i="4" s="1"/>
  <c r="AG87" i="4" s="1"/>
  <c r="AH87" i="4" s="1"/>
  <c r="AI87" i="4" s="1"/>
  <c r="D25" i="12"/>
  <c r="D44" i="12" s="1"/>
  <c r="J44" i="12" s="1"/>
  <c r="E6" i="12"/>
  <c r="D6" i="12"/>
  <c r="H6" i="12"/>
  <c r="G6" i="12"/>
  <c r="F6" i="12"/>
  <c r="C6" i="12"/>
  <c r="U40" i="4"/>
  <c r="E14" i="3" s="1"/>
  <c r="T40" i="4"/>
  <c r="C14" i="3" s="1"/>
  <c r="U39" i="4"/>
  <c r="E13" i="3" s="1"/>
  <c r="F13" i="3" s="1"/>
  <c r="T39" i="4"/>
  <c r="C13" i="3" s="1"/>
  <c r="D14" i="3" s="1"/>
  <c r="M14" i="3" s="1"/>
  <c r="U38" i="4"/>
  <c r="E12" i="3" s="1"/>
  <c r="T38" i="4"/>
  <c r="C12" i="3" s="1"/>
  <c r="U37" i="4"/>
  <c r="E11" i="3" s="1"/>
  <c r="F11" i="3" s="1"/>
  <c r="T37" i="4"/>
  <c r="C11" i="3" s="1"/>
  <c r="D11" i="3" s="1"/>
  <c r="M11" i="3" s="1"/>
  <c r="E25" i="3"/>
  <c r="F26" i="3" s="1"/>
  <c r="U36" i="4"/>
  <c r="E10" i="3" s="1"/>
  <c r="T36" i="4"/>
  <c r="C10" i="3" s="1"/>
  <c r="D10" i="3" s="1"/>
  <c r="E24" i="3"/>
  <c r="U35" i="4"/>
  <c r="E9" i="3"/>
  <c r="T35" i="4"/>
  <c r="C9" i="3"/>
  <c r="D9" i="3" s="1"/>
  <c r="M9" i="3" s="1"/>
  <c r="T34" i="4"/>
  <c r="C8" i="3"/>
  <c r="G9" i="3"/>
  <c r="G8" i="3"/>
  <c r="H9" i="3"/>
  <c r="E23" i="3"/>
  <c r="U34" i="4"/>
  <c r="E8" i="3"/>
  <c r="E22" i="3"/>
  <c r="U33" i="4"/>
  <c r="E7" i="3" s="1"/>
  <c r="U32" i="4"/>
  <c r="E6" i="3" s="1"/>
  <c r="F6" i="3" s="1"/>
  <c r="T33" i="4"/>
  <c r="C7" i="3"/>
  <c r="E21" i="3"/>
  <c r="T32" i="4"/>
  <c r="C6" i="3" s="1"/>
  <c r="E20" i="3"/>
  <c r="U31" i="4"/>
  <c r="E5" i="3"/>
  <c r="T31" i="4"/>
  <c r="C5" i="3"/>
  <c r="E19" i="3"/>
  <c r="E17" i="3"/>
  <c r="E16" i="3"/>
  <c r="E15" i="3"/>
  <c r="EH26" i="4"/>
  <c r="EG26" i="4"/>
  <c r="EF26" i="4"/>
  <c r="EE26" i="4"/>
  <c r="ED26" i="4"/>
  <c r="EC26" i="4"/>
  <c r="EB26" i="4"/>
  <c r="EA26" i="4"/>
  <c r="DZ26" i="4"/>
  <c r="DY26" i="4"/>
  <c r="DX26" i="4"/>
  <c r="DW26" i="4"/>
  <c r="DV26" i="4"/>
  <c r="DU26" i="4"/>
  <c r="DT26" i="4"/>
  <c r="DS26" i="4"/>
  <c r="DR26"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EH18" i="4"/>
  <c r="EG18" i="4"/>
  <c r="EF18" i="4"/>
  <c r="EE18" i="4"/>
  <c r="ED18" i="4"/>
  <c r="EC18" i="4"/>
  <c r="EB18" i="4"/>
  <c r="EA18" i="4"/>
  <c r="DZ18" i="4"/>
  <c r="DY18" i="4"/>
  <c r="DX18" i="4"/>
  <c r="DW18" i="4"/>
  <c r="DV18" i="4"/>
  <c r="DU18" i="4"/>
  <c r="DT18" i="4"/>
  <c r="DS18" i="4"/>
  <c r="DR18"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T28" i="26"/>
  <c r="S24" i="26"/>
  <c r="E18" i="3"/>
  <c r="G14" i="3"/>
  <c r="H14" i="3" s="1"/>
  <c r="G13" i="3"/>
  <c r="G12" i="3"/>
  <c r="G11" i="3"/>
  <c r="G10" i="3"/>
  <c r="G7" i="3"/>
  <c r="G6" i="3"/>
  <c r="G5" i="3"/>
  <c r="O224" i="2"/>
  <c r="F27" i="26" s="1"/>
  <c r="O222" i="2"/>
  <c r="F25" i="26" s="1"/>
  <c r="O221" i="2"/>
  <c r="F24" i="26"/>
  <c r="O220" i="2"/>
  <c r="F23" i="26"/>
  <c r="O216" i="2"/>
  <c r="F19" i="26"/>
  <c r="O215" i="2"/>
  <c r="O217" i="2"/>
  <c r="F20" i="26" s="1"/>
  <c r="O214" i="2"/>
  <c r="F17" i="26" s="1"/>
  <c r="O237" i="2"/>
  <c r="O230" i="2"/>
  <c r="X230" i="2" s="1"/>
  <c r="Y230" i="2" s="1"/>
  <c r="Z230" i="2" s="1"/>
  <c r="AB230" i="2" s="1"/>
  <c r="AC230" i="2" s="1"/>
  <c r="O234" i="2"/>
  <c r="O229" i="2"/>
  <c r="O227" i="2"/>
  <c r="O231" i="2"/>
  <c r="X231" i="2" s="1"/>
  <c r="Y231" i="2" s="1"/>
  <c r="Z231" i="2" s="1"/>
  <c r="O235" i="2"/>
  <c r="X235" i="2" s="1"/>
  <c r="Y235" i="2" s="1"/>
  <c r="Z235" i="2" s="1"/>
  <c r="O233" i="2"/>
  <c r="F18" i="26"/>
  <c r="O228" i="2"/>
  <c r="O232" i="2"/>
  <c r="F21" i="26"/>
  <c r="Q13" i="2"/>
  <c r="H8" i="3"/>
  <c r="M8" i="3" s="1"/>
  <c r="H12" i="3"/>
  <c r="T17" i="26"/>
  <c r="H13" i="3"/>
  <c r="H6" i="3"/>
  <c r="H10" i="3"/>
  <c r="T19" i="26"/>
  <c r="T25" i="26"/>
  <c r="H7" i="3"/>
  <c r="H11" i="3"/>
  <c r="F18" i="3"/>
  <c r="T23" i="26"/>
  <c r="T26" i="26"/>
  <c r="D8" i="3"/>
  <c r="D12" i="3"/>
  <c r="F25" i="3"/>
  <c r="F16" i="3"/>
  <c r="K16" i="3" s="1"/>
  <c r="K17" i="3" s="1"/>
  <c r="K18" i="3" s="1"/>
  <c r="K19" i="3" s="1"/>
  <c r="K20" i="3" s="1"/>
  <c r="K21" i="3" s="1"/>
  <c r="K22" i="3" s="1"/>
  <c r="K23" i="3" s="1"/>
  <c r="K24" i="3" s="1"/>
  <c r="K25" i="3" s="1"/>
  <c r="K26" i="3" s="1"/>
  <c r="K27" i="3" s="1"/>
  <c r="F17" i="3"/>
  <c r="F19" i="3"/>
  <c r="F20" i="3"/>
  <c r="F21" i="3"/>
  <c r="F22" i="3"/>
  <c r="F23" i="3"/>
  <c r="F24" i="3"/>
  <c r="F15" i="3"/>
  <c r="X221" i="2"/>
  <c r="Y221" i="2"/>
  <c r="Z221" i="2" s="1"/>
  <c r="Q7" i="2"/>
  <c r="Q9" i="2"/>
  <c r="Q11" i="2"/>
  <c r="X216" i="2"/>
  <c r="Q16" i="2"/>
  <c r="S25" i="26"/>
  <c r="Q8" i="2"/>
  <c r="S17" i="26"/>
  <c r="Q12" i="2"/>
  <c r="F10" i="3"/>
  <c r="Q6" i="2"/>
  <c r="Q10" i="2"/>
  <c r="Q14" i="2"/>
  <c r="Z14" i="2"/>
  <c r="X222" i="2"/>
  <c r="Y222" i="2" s="1"/>
  <c r="Z222" i="2" s="1"/>
  <c r="X218" i="2"/>
  <c r="Y218" i="2"/>
  <c r="Z218" i="2" s="1"/>
  <c r="X214" i="2"/>
  <c r="Y214" i="2" s="1"/>
  <c r="Z214" i="2" s="1"/>
  <c r="P7" i="2"/>
  <c r="P75" i="2"/>
  <c r="P140" i="2"/>
  <c r="P192" i="2"/>
  <c r="P62" i="2"/>
  <c r="P166" i="2"/>
  <c r="P127" i="2"/>
  <c r="P114" i="2"/>
  <c r="P179" i="2"/>
  <c r="P101" i="2"/>
  <c r="P153" i="2"/>
  <c r="P88" i="2"/>
  <c r="P205" i="2"/>
  <c r="P204" i="2"/>
  <c r="P126" i="2"/>
  <c r="P152" i="2"/>
  <c r="P181" i="2"/>
  <c r="P116" i="2"/>
  <c r="P103" i="2"/>
  <c r="P177" i="2"/>
  <c r="P151" i="2"/>
  <c r="P73" i="2"/>
  <c r="P190" i="2"/>
  <c r="P60" i="2"/>
  <c r="P125" i="2"/>
  <c r="P99" i="2"/>
  <c r="P164" i="2"/>
  <c r="P86" i="2"/>
  <c r="P112" i="2"/>
  <c r="P138" i="2"/>
  <c r="P203" i="2"/>
  <c r="P185" i="2"/>
  <c r="P146" i="2"/>
  <c r="P107" i="2"/>
  <c r="P198" i="2"/>
  <c r="P159" i="2"/>
  <c r="P211" i="2"/>
  <c r="P124" i="2"/>
  <c r="P85" i="2"/>
  <c r="P202" i="2"/>
  <c r="P150" i="2"/>
  <c r="P137" i="2"/>
  <c r="P189" i="2"/>
  <c r="P59" i="2"/>
  <c r="P72" i="2"/>
  <c r="P98" i="2"/>
  <c r="P176" i="2"/>
  <c r="P111" i="2"/>
  <c r="P163" i="2"/>
  <c r="P131" i="2"/>
  <c r="P170" i="2"/>
  <c r="P183" i="2"/>
  <c r="P105" i="2"/>
  <c r="P157" i="2"/>
  <c r="P66" i="2"/>
  <c r="P118" i="2"/>
  <c r="P79" i="2"/>
  <c r="P144" i="2"/>
  <c r="P92" i="2"/>
  <c r="P209" i="2"/>
  <c r="P196" i="2"/>
  <c r="P58" i="2"/>
  <c r="P201" i="2"/>
  <c r="P136" i="2"/>
  <c r="P149" i="2"/>
  <c r="P123" i="2"/>
  <c r="P162" i="2"/>
  <c r="P208" i="2"/>
  <c r="P156" i="2"/>
  <c r="P65" i="2"/>
  <c r="P130" i="2"/>
  <c r="P117" i="2"/>
  <c r="P182" i="2"/>
  <c r="P195" i="2"/>
  <c r="P78" i="2"/>
  <c r="P104" i="2"/>
  <c r="P169" i="2"/>
  <c r="P91" i="2"/>
  <c r="P143" i="2"/>
  <c r="S23" i="3"/>
  <c r="S15" i="3"/>
  <c r="P14" i="2"/>
  <c r="P6" i="2"/>
  <c r="P8" i="2"/>
  <c r="P16" i="2"/>
  <c r="P9" i="2"/>
  <c r="P10" i="2"/>
  <c r="P13" i="2"/>
  <c r="P12" i="2"/>
  <c r="P46" i="2"/>
  <c r="P20" i="2"/>
  <c r="P33" i="2"/>
  <c r="P23" i="2"/>
  <c r="P49" i="2"/>
  <c r="P36" i="2"/>
  <c r="P26" i="2"/>
  <c r="P52" i="2"/>
  <c r="P39" i="2"/>
  <c r="P53" i="2"/>
  <c r="P27" i="2"/>
  <c r="P40" i="2"/>
  <c r="P45" i="2"/>
  <c r="P42" i="2"/>
  <c r="P29" i="2"/>
  <c r="P34" i="2"/>
  <c r="P47" i="2"/>
  <c r="P21" i="2"/>
  <c r="Z6" i="2"/>
  <c r="AA6" i="2" s="1"/>
  <c r="Z10" i="2"/>
  <c r="AB10" i="2" s="1"/>
  <c r="AA10" i="2"/>
  <c r="Z9" i="2"/>
  <c r="AA9" i="2" s="1"/>
  <c r="Z7" i="2"/>
  <c r="AA7" i="2" s="1"/>
  <c r="AB7" i="2"/>
  <c r="Z13" i="2"/>
  <c r="AA13" i="2"/>
  <c r="Z11" i="2"/>
  <c r="AA11" i="2"/>
  <c r="AB11" i="2" s="1"/>
  <c r="Z15" i="2"/>
  <c r="O239" i="2"/>
  <c r="X239" i="2"/>
  <c r="Y239" i="2" s="1"/>
  <c r="Z239" i="2"/>
  <c r="Z8" i="2"/>
  <c r="AA8" i="2" s="1"/>
  <c r="Z16" i="2"/>
  <c r="AA16" i="2" s="1"/>
  <c r="Z12" i="2"/>
  <c r="AB12" i="2" s="1"/>
  <c r="AA12" i="2"/>
  <c r="O225" i="2"/>
  <c r="P30" i="2" s="1"/>
  <c r="Q17" i="2"/>
  <c r="O238" i="2"/>
  <c r="M15" i="3"/>
  <c r="U17" i="26" s="1"/>
  <c r="M12" i="3"/>
  <c r="E7" i="12"/>
  <c r="Z17" i="2"/>
  <c r="M10" i="3"/>
  <c r="F9" i="3"/>
  <c r="F8" i="3"/>
  <c r="J17" i="24"/>
  <c r="Z20" i="26" s="1"/>
  <c r="AB129" i="2"/>
  <c r="H15" i="24"/>
  <c r="J15" i="24"/>
  <c r="X18" i="26"/>
  <c r="I15" i="24"/>
  <c r="I16" i="24" s="1"/>
  <c r="I17" i="24"/>
  <c r="I18" i="24" s="1"/>
  <c r="I19" i="24" s="1"/>
  <c r="I20" i="24" s="1"/>
  <c r="I21" i="24" s="1"/>
  <c r="I22" i="24" s="1"/>
  <c r="I23" i="24" s="1"/>
  <c r="I24" i="24" s="1"/>
  <c r="I25" i="24" s="1"/>
  <c r="I26" i="24" s="1"/>
  <c r="F18" i="24"/>
  <c r="F20" i="24"/>
  <c r="Y18" i="26"/>
  <c r="AB203" i="2"/>
  <c r="AA56" i="2"/>
  <c r="AB44" i="2"/>
  <c r="P95" i="2"/>
  <c r="AA17" i="2"/>
  <c r="P186" i="2"/>
  <c r="AA83" i="2"/>
  <c r="X29" i="26"/>
  <c r="J26" i="24"/>
  <c r="Z29" i="26" s="1"/>
  <c r="AB114" i="2"/>
  <c r="D16" i="24"/>
  <c r="Y23" i="26"/>
  <c r="J14" i="24"/>
  <c r="Z17" i="26"/>
  <c r="AB209" i="2"/>
  <c r="X234" i="2"/>
  <c r="Y234" i="2"/>
  <c r="Z234" i="2" s="1"/>
  <c r="J220" i="2"/>
  <c r="R25" i="41"/>
  <c r="X232" i="2"/>
  <c r="Y232" i="2" s="1"/>
  <c r="Z232" i="2" s="1"/>
  <c r="D137" i="2"/>
  <c r="D123" i="59"/>
  <c r="D85" i="2"/>
  <c r="D71" i="59"/>
  <c r="D34" i="2"/>
  <c r="D20" i="59"/>
  <c r="J235" i="2"/>
  <c r="J229" i="2"/>
  <c r="D20" i="2"/>
  <c r="D6" i="59"/>
  <c r="N12" i="39"/>
  <c r="N11" i="39"/>
  <c r="D176" i="2"/>
  <c r="D162" i="59"/>
  <c r="D124" i="2"/>
  <c r="D110" i="59"/>
  <c r="D72" i="2"/>
  <c r="D58" i="59"/>
  <c r="N14" i="39"/>
  <c r="D163" i="2"/>
  <c r="D149" i="59"/>
  <c r="D111" i="2"/>
  <c r="D97" i="59"/>
  <c r="D59" i="2"/>
  <c r="D45" i="59"/>
  <c r="J232" i="2"/>
  <c r="D150" i="2"/>
  <c r="D136" i="59"/>
  <c r="D98" i="2"/>
  <c r="D84" i="59"/>
  <c r="D46" i="2"/>
  <c r="D32" i="59"/>
  <c r="Q25" i="41"/>
  <c r="O14" i="39"/>
  <c r="J25" i="12"/>
  <c r="X228" i="2"/>
  <c r="Y228" i="2" s="1"/>
  <c r="Z228" i="2" s="1"/>
  <c r="X238" i="2"/>
  <c r="Y238" i="2" s="1"/>
  <c r="Z238" i="2" s="1"/>
  <c r="X237" i="2"/>
  <c r="Y237" i="2"/>
  <c r="Z237" i="2" s="1"/>
  <c r="Y216" i="2"/>
  <c r="Z216" i="2"/>
  <c r="X233" i="2"/>
  <c r="Y233" i="2" s="1"/>
  <c r="Z233" i="2" s="1"/>
  <c r="X227" i="2"/>
  <c r="Y227" i="2"/>
  <c r="Z227" i="2" s="1"/>
  <c r="AA227" i="2" s="1"/>
  <c r="J231" i="2"/>
  <c r="X229" i="2"/>
  <c r="Y229" i="2" s="1"/>
  <c r="Z229" i="2" s="1"/>
  <c r="R234" i="2"/>
  <c r="J234" i="2" s="1"/>
  <c r="J221" i="2"/>
  <c r="R230" i="2"/>
  <c r="J230" i="2" s="1"/>
  <c r="J217" i="2"/>
  <c r="P134" i="2"/>
  <c r="P22" i="2"/>
  <c r="P38" i="2"/>
  <c r="P216" i="2"/>
  <c r="P77" i="2"/>
  <c r="P90" i="2"/>
  <c r="P129" i="2"/>
  <c r="P178" i="2"/>
  <c r="P87" i="2"/>
  <c r="P61" i="2"/>
  <c r="X220" i="2"/>
  <c r="Y220" i="2"/>
  <c r="Z220" i="2" s="1"/>
  <c r="AA220" i="2" s="1"/>
  <c r="AB220" i="2" s="1"/>
  <c r="Q15" i="2"/>
  <c r="AA15" i="2" s="1"/>
  <c r="X219" i="2"/>
  <c r="Y219" i="2" s="1"/>
  <c r="Z219" i="2" s="1"/>
  <c r="AB78" i="2"/>
  <c r="AB48" i="2"/>
  <c r="AB127" i="2"/>
  <c r="AB138" i="2"/>
  <c r="AC138" i="2" s="1"/>
  <c r="AB53" i="2"/>
  <c r="AC53" i="2" s="1"/>
  <c r="AA76" i="2"/>
  <c r="AB76" i="2" s="1"/>
  <c r="AA177" i="2"/>
  <c r="AB177" i="2"/>
  <c r="AA92" i="2"/>
  <c r="AB92" i="2"/>
  <c r="AA143" i="2"/>
  <c r="AB143" i="2"/>
  <c r="AC143" i="2" s="1"/>
  <c r="AA165" i="2"/>
  <c r="AA200" i="2"/>
  <c r="AB200" i="2" s="1"/>
  <c r="AA33" i="2"/>
  <c r="AB33" i="2" s="1"/>
  <c r="AA73" i="2"/>
  <c r="AB73" i="2"/>
  <c r="AC73" i="2" s="1"/>
  <c r="AA98" i="2"/>
  <c r="AB98" i="2" s="1"/>
  <c r="AC98" i="2" s="1"/>
  <c r="AA155" i="2"/>
  <c r="AB155" i="2"/>
  <c r="AA145" i="2"/>
  <c r="AB145" i="2" s="1"/>
  <c r="P147" i="2"/>
  <c r="P35" i="2"/>
  <c r="P51" i="2"/>
  <c r="P221" i="2"/>
  <c r="P215" i="2"/>
  <c r="P218" i="2"/>
  <c r="P155" i="2"/>
  <c r="P207" i="2"/>
  <c r="P64" i="2"/>
  <c r="P220" i="2" s="1"/>
  <c r="P113" i="2"/>
  <c r="P165" i="2"/>
  <c r="P139" i="2"/>
  <c r="X224" i="2"/>
  <c r="Y224" i="2"/>
  <c r="Z224" i="2" s="1"/>
  <c r="O236" i="2"/>
  <c r="X236" i="2"/>
  <c r="Y236" i="2" s="1"/>
  <c r="Z236" i="2" s="1"/>
  <c r="AA236" i="2" s="1"/>
  <c r="AB25" i="2"/>
  <c r="AC25" i="2" s="1"/>
  <c r="AA45" i="2"/>
  <c r="AB45" i="2" s="1"/>
  <c r="AC45" i="2" s="1"/>
  <c r="AC48" i="2"/>
  <c r="AA34" i="2"/>
  <c r="AB34" i="2"/>
  <c r="AA150" i="2"/>
  <c r="AB150" i="2"/>
  <c r="AA166" i="2"/>
  <c r="AB166" i="2"/>
  <c r="AB148" i="2"/>
  <c r="AC148" i="2"/>
  <c r="X225" i="2"/>
  <c r="Y225" i="2"/>
  <c r="Z225" i="2" s="1"/>
  <c r="P48" i="2"/>
  <c r="P25" i="2"/>
  <c r="P142" i="2"/>
  <c r="P168" i="2"/>
  <c r="P194" i="2"/>
  <c r="P235" i="2"/>
  <c r="P100" i="2"/>
  <c r="P191" i="2"/>
  <c r="P74" i="2"/>
  <c r="X223" i="2"/>
  <c r="Y223" i="2" s="1"/>
  <c r="Z223" i="2" s="1"/>
  <c r="X215" i="2"/>
  <c r="Y215" i="2" s="1"/>
  <c r="Z215" i="2" s="1"/>
  <c r="X217" i="2"/>
  <c r="Y217" i="2"/>
  <c r="Z217" i="2" s="1"/>
  <c r="O219" i="2"/>
  <c r="O223" i="2"/>
  <c r="AA99" i="2"/>
  <c r="AB99" i="2"/>
  <c r="AA91" i="2"/>
  <c r="AA22" i="2"/>
  <c r="AB75" i="2"/>
  <c r="AC75" i="2" s="1"/>
  <c r="AC78" i="2"/>
  <c r="AA81" i="2"/>
  <c r="AB81" i="2"/>
  <c r="AC81" i="2" s="1"/>
  <c r="AC127" i="2"/>
  <c r="AA139" i="2"/>
  <c r="AC139" i="2" s="1"/>
  <c r="AB139" i="2"/>
  <c r="AB141" i="2"/>
  <c r="AC141" i="2" s="1"/>
  <c r="G237" i="2"/>
  <c r="J237" i="2" s="1"/>
  <c r="J224" i="2"/>
  <c r="AB110" i="2"/>
  <c r="AC110" i="2"/>
  <c r="C20" i="2"/>
  <c r="J239" i="2"/>
  <c r="AA231" i="2"/>
  <c r="AB231" i="2"/>
  <c r="AA216" i="2"/>
  <c r="AA235" i="2"/>
  <c r="AB235" i="2" s="1"/>
  <c r="AC235" i="2" s="1"/>
  <c r="AA234" i="2"/>
  <c r="AB234" i="2" s="1"/>
  <c r="AC234" i="2" s="1"/>
  <c r="AA230" i="2"/>
  <c r="AA239" i="2"/>
  <c r="AB239" i="2" s="1"/>
  <c r="AC239" i="2" s="1"/>
  <c r="AA221" i="2"/>
  <c r="AB221" i="2" s="1"/>
  <c r="AA218" i="2"/>
  <c r="AB218" i="2" s="1"/>
  <c r="AA46" i="2"/>
  <c r="AB46" i="2" s="1"/>
  <c r="AC46" i="2" s="1"/>
  <c r="AA79" i="2"/>
  <c r="AB79" i="2" s="1"/>
  <c r="AC79" i="2" s="1"/>
  <c r="AA38" i="2"/>
  <c r="AB38" i="2" s="1"/>
  <c r="AB59" i="2"/>
  <c r="AC59" i="2" s="1"/>
  <c r="AA63" i="2"/>
  <c r="AB63" i="2" s="1"/>
  <c r="AC63" i="2" s="1"/>
  <c r="AA119" i="2"/>
  <c r="AB119" i="2" s="1"/>
  <c r="AC119" i="2" s="1"/>
  <c r="AB163" i="2"/>
  <c r="AC163" i="2" s="1"/>
  <c r="P108" i="2"/>
  <c r="P160" i="2"/>
  <c r="P199" i="2"/>
  <c r="P234" i="2"/>
  <c r="P230" i="2"/>
  <c r="P231" i="2"/>
  <c r="AB13" i="2"/>
  <c r="AA182" i="2"/>
  <c r="AB182" i="2" s="1"/>
  <c r="AC182" i="2" s="1"/>
  <c r="AA23" i="2"/>
  <c r="AB23" i="2" s="1"/>
  <c r="AC23" i="2" s="1"/>
  <c r="AA29" i="2"/>
  <c r="AB29" i="2" s="1"/>
  <c r="AA49" i="2"/>
  <c r="AB49" i="2" s="1"/>
  <c r="AC49" i="2" s="1"/>
  <c r="AA71" i="2"/>
  <c r="AB71" i="2" s="1"/>
  <c r="AA77" i="2"/>
  <c r="AB77" i="2" s="1"/>
  <c r="AC77" i="2" s="1"/>
  <c r="AA36" i="2"/>
  <c r="AB36" i="2" s="1"/>
  <c r="AA41" i="2"/>
  <c r="AB41" i="2" s="1"/>
  <c r="AA61" i="2"/>
  <c r="AB61" i="2" s="1"/>
  <c r="AC61" i="2" s="1"/>
  <c r="AA66" i="2"/>
  <c r="AB66" i="2" s="1"/>
  <c r="AC66" i="2" s="1"/>
  <c r="AA68" i="2"/>
  <c r="AB68" i="2" s="1"/>
  <c r="Z104" i="2"/>
  <c r="Y107" i="2"/>
  <c r="Z107" i="2"/>
  <c r="AA107" i="2" s="1"/>
  <c r="Y105" i="2"/>
  <c r="Z105" i="2"/>
  <c r="AA125" i="2"/>
  <c r="AB125" i="2"/>
  <c r="AC125" i="2" s="1"/>
  <c r="AA133" i="2"/>
  <c r="Z178" i="2"/>
  <c r="Y184" i="2"/>
  <c r="Z184" i="2"/>
  <c r="AA184" i="2" s="1"/>
  <c r="Y175" i="2"/>
  <c r="Z175" i="2"/>
  <c r="Y181" i="2"/>
  <c r="Z181" i="2"/>
  <c r="AA181" i="2" s="1"/>
  <c r="Y185" i="2"/>
  <c r="Z185" i="2"/>
  <c r="AA116" i="2"/>
  <c r="AB116" i="2"/>
  <c r="AC116" i="2" s="1"/>
  <c r="AA86" i="2"/>
  <c r="AB86" i="2"/>
  <c r="AA136" i="2"/>
  <c r="AB136" i="2"/>
  <c r="AC136" i="2" s="1"/>
  <c r="AA14" i="2"/>
  <c r="AB14" i="2"/>
  <c r="P173" i="2"/>
  <c r="P121" i="2"/>
  <c r="P43" i="2"/>
  <c r="AB8" i="2"/>
  <c r="P228" i="2"/>
  <c r="AA100" i="2"/>
  <c r="AB100" i="2"/>
  <c r="AA21" i="2"/>
  <c r="AB21" i="2"/>
  <c r="AC21" i="2" s="1"/>
  <c r="AA26" i="2"/>
  <c r="AB26" i="2"/>
  <c r="AA47" i="2"/>
  <c r="AB47" i="2"/>
  <c r="AC47" i="2" s="1"/>
  <c r="AA52" i="2"/>
  <c r="AB52" i="2"/>
  <c r="AA54" i="2"/>
  <c r="AB54" i="2"/>
  <c r="AA74" i="2"/>
  <c r="AB74" i="2"/>
  <c r="AA80" i="2"/>
  <c r="AB80" i="2"/>
  <c r="AC80" i="2" s="1"/>
  <c r="AB35" i="2"/>
  <c r="AC35" i="2"/>
  <c r="AA39" i="2"/>
  <c r="AB39" i="2"/>
  <c r="AC39" i="2" s="1"/>
  <c r="AA64" i="2"/>
  <c r="AB64" i="2"/>
  <c r="AB128" i="2"/>
  <c r="AC128" i="2"/>
  <c r="AA158" i="2"/>
  <c r="AB158" i="2"/>
  <c r="AB112" i="2"/>
  <c r="AC112" i="2"/>
  <c r="AB115" i="2"/>
  <c r="AC115" i="2"/>
  <c r="AA120" i="2"/>
  <c r="AB120" i="2"/>
  <c r="AC120" i="2" s="1"/>
  <c r="AB94" i="2"/>
  <c r="AC94" i="2"/>
  <c r="P229" i="2"/>
  <c r="AA24" i="2"/>
  <c r="AB24" i="2" s="1"/>
  <c r="AA50" i="2"/>
  <c r="AB50" i="2" s="1"/>
  <c r="AC50" i="2" s="1"/>
  <c r="AA72" i="2"/>
  <c r="AB72" i="2" s="1"/>
  <c r="AA58" i="2"/>
  <c r="AB58" i="2" s="1"/>
  <c r="AC58" i="2" s="1"/>
  <c r="AA60" i="2"/>
  <c r="AB60" i="2" s="1"/>
  <c r="AB65" i="2"/>
  <c r="AC65" i="2" s="1"/>
  <c r="AA124" i="2"/>
  <c r="AB124" i="2" s="1"/>
  <c r="AA152" i="2"/>
  <c r="AB152" i="2" s="1"/>
  <c r="AA140" i="2"/>
  <c r="AB140" i="2" s="1"/>
  <c r="AA170" i="2"/>
  <c r="AB170" i="2" s="1"/>
  <c r="AC170" i="2" s="1"/>
  <c r="Y32" i="2"/>
  <c r="Z32" i="2" s="1"/>
  <c r="AA210" i="2"/>
  <c r="AB210" i="2" s="1"/>
  <c r="AC210" i="2" s="1"/>
  <c r="AB95" i="2"/>
  <c r="AC95" i="2" s="1"/>
  <c r="AB51" i="2"/>
  <c r="AC51" i="2" s="1"/>
  <c r="AB28" i="2"/>
  <c r="AC28" i="2" s="1"/>
  <c r="AB20" i="2"/>
  <c r="AC20" i="2" s="1"/>
  <c r="AB123" i="2"/>
  <c r="AC123" i="2"/>
  <c r="AB132" i="2"/>
  <c r="AC132" i="2"/>
  <c r="Y103" i="2"/>
  <c r="Z103" i="2"/>
  <c r="AB85" i="2"/>
  <c r="AC85" i="2"/>
  <c r="AB204" i="2"/>
  <c r="AC204" i="2"/>
  <c r="AA211" i="2"/>
  <c r="AB211" i="2"/>
  <c r="AA198" i="2"/>
  <c r="AB198" i="2"/>
  <c r="Y101" i="2"/>
  <c r="Z101" i="2" s="1"/>
  <c r="Y97" i="2"/>
  <c r="Z97" i="2" s="1"/>
  <c r="Y42" i="2"/>
  <c r="Z42" i="2" s="1"/>
  <c r="Y172" i="2"/>
  <c r="Z172" i="2" s="1"/>
  <c r="AA172" i="2" s="1"/>
  <c r="Z162" i="2"/>
  <c r="AA162" i="2" s="1"/>
  <c r="AC209" i="2"/>
  <c r="AA201" i="2"/>
  <c r="AB201" i="2" s="1"/>
  <c r="AC201" i="2" s="1"/>
  <c r="AB183" i="2"/>
  <c r="AC183" i="2" s="1"/>
  <c r="Y102" i="2"/>
  <c r="Z102" i="2" s="1"/>
  <c r="Y106" i="2"/>
  <c r="Z106" i="2" s="1"/>
  <c r="AA202" i="2"/>
  <c r="AB202" i="2" s="1"/>
  <c r="AC202" i="2" s="1"/>
  <c r="AB197" i="2"/>
  <c r="AC197" i="2" s="1"/>
  <c r="AB191" i="2"/>
  <c r="AC191" i="2" s="1"/>
  <c r="AB193" i="2"/>
  <c r="AC193" i="2" s="1"/>
  <c r="AB207" i="2"/>
  <c r="AC207" i="2" s="1"/>
  <c r="AB205" i="2"/>
  <c r="AC205" i="2" s="1"/>
  <c r="AA194" i="2"/>
  <c r="AB194" i="2"/>
  <c r="AC194" i="2" s="1"/>
  <c r="AB192" i="2"/>
  <c r="AC192" i="2"/>
  <c r="AA187" i="2"/>
  <c r="AB187" i="2"/>
  <c r="AB82" i="2"/>
  <c r="AC82" i="2" s="1"/>
  <c r="AA31" i="2"/>
  <c r="AB31" i="2" s="1"/>
  <c r="AB195" i="2"/>
  <c r="AC195" i="2" s="1"/>
  <c r="AB208" i="2"/>
  <c r="AC208" i="2" s="1"/>
  <c r="AA213" i="2"/>
  <c r="AB213" i="2" s="1"/>
  <c r="AA186" i="2"/>
  <c r="AB186" i="2" s="1"/>
  <c r="AA122" i="2"/>
  <c r="AB122" i="2"/>
  <c r="AB69" i="2"/>
  <c r="AC69" i="2"/>
  <c r="AA30" i="2"/>
  <c r="AB30" i="2"/>
  <c r="AB206" i="2"/>
  <c r="AC206" i="2"/>
  <c r="AB57" i="2"/>
  <c r="AC57" i="2"/>
  <c r="AB190" i="2"/>
  <c r="AC190" i="2"/>
  <c r="AA189" i="2"/>
  <c r="AB189" i="2"/>
  <c r="AC189" i="2" s="1"/>
  <c r="AA188" i="2"/>
  <c r="AB188" i="2"/>
  <c r="J218" i="2"/>
  <c r="AA96" i="2"/>
  <c r="AB96" i="2"/>
  <c r="AC96" i="2" s="1"/>
  <c r="AA43" i="2"/>
  <c r="AB43" i="2"/>
  <c r="O226" i="2"/>
  <c r="AB199" i="2"/>
  <c r="AC199" i="2" s="1"/>
  <c r="AB134" i="2"/>
  <c r="AC134" i="2" s="1"/>
  <c r="AB160" i="2"/>
  <c r="AC160" i="2" s="1"/>
  <c r="AB173" i="2"/>
  <c r="AC173" i="2" s="1"/>
  <c r="AB121" i="2"/>
  <c r="AC121" i="2" s="1"/>
  <c r="AA108" i="2"/>
  <c r="AB108" i="2" s="1"/>
  <c r="AC108" i="2" s="1"/>
  <c r="AA70" i="2"/>
  <c r="AB70" i="2" s="1"/>
  <c r="AC44" i="2"/>
  <c r="J214" i="2"/>
  <c r="R238" i="2"/>
  <c r="J238" i="2"/>
  <c r="J225" i="2"/>
  <c r="D47" i="2"/>
  <c r="D34" i="59" s="1"/>
  <c r="D33" i="59"/>
  <c r="D151" i="2"/>
  <c r="D137" i="59"/>
  <c r="D60" i="2"/>
  <c r="D46" i="59"/>
  <c r="D164" i="2"/>
  <c r="D150" i="59"/>
  <c r="S22" i="26"/>
  <c r="S26" i="3"/>
  <c r="S28" i="26"/>
  <c r="J16" i="24"/>
  <c r="Z19" i="26" s="1"/>
  <c r="X19" i="26"/>
  <c r="K15" i="24"/>
  <c r="Z18" i="26"/>
  <c r="D73" i="2"/>
  <c r="D74" i="2" s="1"/>
  <c r="D75" i="2" s="1"/>
  <c r="D76" i="2" s="1"/>
  <c r="D59" i="59"/>
  <c r="D177" i="2"/>
  <c r="D163" i="59"/>
  <c r="T89" i="60"/>
  <c r="T88" i="60" s="1"/>
  <c r="T87" i="60" s="1"/>
  <c r="T86" i="60" s="1"/>
  <c r="T85" i="60" s="1"/>
  <c r="T84" i="60" s="1"/>
  <c r="T83" i="60" s="1"/>
  <c r="T82" i="60" s="1"/>
  <c r="T81" i="60" s="1"/>
  <c r="T80" i="60" s="1"/>
  <c r="T79" i="60" s="1"/>
  <c r="T78" i="60" s="1"/>
  <c r="T77" i="60" s="1"/>
  <c r="T76" i="60" s="1"/>
  <c r="T75" i="60" s="1"/>
  <c r="T74" i="60" s="1"/>
  <c r="T73" i="60" s="1"/>
  <c r="T72" i="60" s="1"/>
  <c r="T71" i="60" s="1"/>
  <c r="D21" i="2"/>
  <c r="C21" i="2" s="1"/>
  <c r="D7" i="59"/>
  <c r="D35" i="2"/>
  <c r="D21" i="59"/>
  <c r="D138" i="2"/>
  <c r="D124" i="59"/>
  <c r="S17" i="3"/>
  <c r="S19" i="26"/>
  <c r="T18" i="26"/>
  <c r="L16" i="3"/>
  <c r="L17" i="3" s="1"/>
  <c r="S21" i="26"/>
  <c r="S27" i="26"/>
  <c r="H16" i="24"/>
  <c r="H17" i="24" s="1"/>
  <c r="H18" i="24" s="1"/>
  <c r="H19" i="24" s="1"/>
  <c r="H20" i="24" s="1"/>
  <c r="D99" i="2"/>
  <c r="D100" i="2" s="1"/>
  <c r="D87" i="59" s="1"/>
  <c r="D85" i="59"/>
  <c r="D112" i="2"/>
  <c r="D99" i="59" s="1"/>
  <c r="D98" i="59"/>
  <c r="S16" i="3"/>
  <c r="T16" i="3" s="1"/>
  <c r="J16" i="3"/>
  <c r="J17" i="3" s="1"/>
  <c r="S18" i="26"/>
  <c r="S26" i="26"/>
  <c r="S24" i="3"/>
  <c r="D125" i="2"/>
  <c r="D111" i="59"/>
  <c r="D86" i="2"/>
  <c r="D72" i="59"/>
  <c r="S22" i="3"/>
  <c r="T24" i="26"/>
  <c r="U23" i="26"/>
  <c r="S23" i="26"/>
  <c r="S21" i="3"/>
  <c r="S29" i="26"/>
  <c r="Y21" i="26"/>
  <c r="J18" i="24"/>
  <c r="Z21" i="26"/>
  <c r="AC129" i="2"/>
  <c r="AB227" i="2"/>
  <c r="AB216" i="2"/>
  <c r="AB236" i="2"/>
  <c r="P128" i="2"/>
  <c r="P180" i="2"/>
  <c r="P154" i="2"/>
  <c r="P50" i="2"/>
  <c r="P141" i="2"/>
  <c r="P76" i="2"/>
  <c r="P102" i="2"/>
  <c r="P11" i="2"/>
  <c r="P37" i="2"/>
  <c r="P63" i="2"/>
  <c r="P167" i="2"/>
  <c r="P206" i="2"/>
  <c r="F22" i="26"/>
  <c r="P24" i="2"/>
  <c r="P193" i="2"/>
  <c r="P115" i="2"/>
  <c r="P89" i="2"/>
  <c r="AC150" i="2"/>
  <c r="P217" i="2"/>
  <c r="AC166" i="2"/>
  <c r="AC177" i="2"/>
  <c r="AC99" i="2"/>
  <c r="AC34" i="2"/>
  <c r="P233" i="2"/>
  <c r="AB91" i="2"/>
  <c r="AC91" i="2" s="1"/>
  <c r="AC155" i="2"/>
  <c r="P119" i="2"/>
  <c r="P145" i="2"/>
  <c r="P210" i="2"/>
  <c r="P15" i="2"/>
  <c r="P41" i="2"/>
  <c r="P171" i="2"/>
  <c r="P197" i="2"/>
  <c r="P158" i="2"/>
  <c r="P54" i="2"/>
  <c r="P184" i="2"/>
  <c r="P106" i="2"/>
  <c r="P93" i="2"/>
  <c r="P80" i="2"/>
  <c r="P67" i="2"/>
  <c r="P132" i="2"/>
  <c r="P28" i="2"/>
  <c r="AB165" i="2"/>
  <c r="AC165" i="2" s="1"/>
  <c r="AC92" i="2"/>
  <c r="F26" i="26"/>
  <c r="AC43" i="2"/>
  <c r="AC188" i="2"/>
  <c r="AC31" i="2"/>
  <c r="Y174" i="2"/>
  <c r="Z174" i="2" s="1"/>
  <c r="AC211" i="2"/>
  <c r="AA103" i="2"/>
  <c r="AC158" i="2"/>
  <c r="AC100" i="2"/>
  <c r="AB184" i="2"/>
  <c r="AC41" i="2"/>
  <c r="AC38" i="2"/>
  <c r="AC60" i="2"/>
  <c r="AC64" i="2"/>
  <c r="AC74" i="2"/>
  <c r="AC86" i="2"/>
  <c r="AA185" i="2"/>
  <c r="AB185" i="2"/>
  <c r="AC185" i="2" s="1"/>
  <c r="AA178" i="2"/>
  <c r="AB178" i="2" s="1"/>
  <c r="AC178" i="2" s="1"/>
  <c r="AA104" i="2"/>
  <c r="AB104" i="2"/>
  <c r="AC104" i="2" s="1"/>
  <c r="P57" i="2"/>
  <c r="P31" i="2"/>
  <c r="P109" i="2"/>
  <c r="P70" i="2"/>
  <c r="P187" i="2"/>
  <c r="P161" i="2"/>
  <c r="P83" i="2"/>
  <c r="F29" i="26"/>
  <c r="P200" i="2"/>
  <c r="P18" i="2"/>
  <c r="P148" i="2"/>
  <c r="P96" i="2"/>
  <c r="P135" i="2"/>
  <c r="P213" i="2"/>
  <c r="P122" i="2"/>
  <c r="P44" i="2"/>
  <c r="P174" i="2"/>
  <c r="AC187" i="2"/>
  <c r="AC198" i="2"/>
  <c r="AC124" i="2"/>
  <c r="AC52" i="2"/>
  <c r="AB181" i="2"/>
  <c r="X226" i="2"/>
  <c r="Y226" i="2" s="1"/>
  <c r="Z226" i="2" s="1"/>
  <c r="AC30" i="2"/>
  <c r="AC122" i="2"/>
  <c r="AC213" i="2"/>
  <c r="AB172" i="2"/>
  <c r="AC152" i="2"/>
  <c r="AC54" i="2"/>
  <c r="AC26" i="2"/>
  <c r="AA175" i="2"/>
  <c r="AB175" i="2"/>
  <c r="AB133" i="2"/>
  <c r="AC133" i="2"/>
  <c r="AA105" i="2"/>
  <c r="AB105" i="2"/>
  <c r="AC105" i="2" s="1"/>
  <c r="AC71" i="2"/>
  <c r="AC231" i="2"/>
  <c r="D36" i="2"/>
  <c r="D22" i="59"/>
  <c r="D165" i="2"/>
  <c r="D151" i="59"/>
  <c r="D113" i="2"/>
  <c r="D100" i="59" s="1"/>
  <c r="D152" i="2"/>
  <c r="D138" i="59"/>
  <c r="D178" i="2"/>
  <c r="D164" i="59"/>
  <c r="D61" i="2"/>
  <c r="D47" i="59"/>
  <c r="D139" i="2"/>
  <c r="D125" i="59"/>
  <c r="D87" i="2"/>
  <c r="D73" i="59"/>
  <c r="K16" i="24"/>
  <c r="E18" i="26"/>
  <c r="E46" i="26"/>
  <c r="L15" i="24"/>
  <c r="D48" i="2"/>
  <c r="D35" i="59" s="1"/>
  <c r="F30" i="26"/>
  <c r="P223" i="2"/>
  <c r="AC175" i="2"/>
  <c r="Z18" i="2"/>
  <c r="AB162" i="2"/>
  <c r="AB103" i="2"/>
  <c r="AC103" i="2"/>
  <c r="D49" i="2"/>
  <c r="D36" i="59" s="1"/>
  <c r="D179" i="2"/>
  <c r="D180" i="2" s="1"/>
  <c r="D165" i="59"/>
  <c r="D37" i="2"/>
  <c r="D23" i="59"/>
  <c r="D140" i="2"/>
  <c r="D141" i="2" s="1"/>
  <c r="D126" i="59"/>
  <c r="D62" i="2"/>
  <c r="D48" i="59"/>
  <c r="D61" i="59"/>
  <c r="E19" i="26"/>
  <c r="E47" i="26" s="1"/>
  <c r="D114" i="2"/>
  <c r="AA18" i="2"/>
  <c r="AB18" i="2"/>
  <c r="D50" i="2"/>
  <c r="D166" i="59"/>
  <c r="D127" i="59"/>
  <c r="D62" i="59"/>
  <c r="D63" i="2"/>
  <c r="D49" i="59"/>
  <c r="D64" i="2"/>
  <c r="D50" i="59"/>
  <c r="D65" i="2"/>
  <c r="D66" i="2" s="1"/>
  <c r="D67" i="2" s="1"/>
  <c r="D51" i="59"/>
  <c r="D52" i="59"/>
  <c r="D53" i="59"/>
  <c r="K89" i="60"/>
  <c r="K93" i="60"/>
  <c r="K96" i="60"/>
  <c r="K91" i="60"/>
  <c r="K92" i="60"/>
  <c r="K95" i="60"/>
  <c r="K90" i="60"/>
  <c r="K97" i="60"/>
  <c r="J96" i="60"/>
  <c r="K94" i="60"/>
  <c r="I67" i="39" l="1"/>
  <c r="I70" i="39" s="1"/>
  <c r="P75" i="61"/>
  <c r="S75" i="61" s="1"/>
  <c r="V75" i="61" s="1"/>
  <c r="P95" i="61"/>
  <c r="S95" i="61" s="1"/>
  <c r="V95" i="61" s="1"/>
  <c r="S77" i="61"/>
  <c r="S61" i="61"/>
  <c r="P68" i="61"/>
  <c r="S68" i="61" s="1"/>
  <c r="P64" i="61"/>
  <c r="P50" i="61"/>
  <c r="S50" i="61" s="1"/>
  <c r="V50" i="61" s="1"/>
  <c r="P48" i="61"/>
  <c r="V96" i="61"/>
  <c r="P54" i="61"/>
  <c r="S54" i="61" s="1"/>
  <c r="V54" i="61" s="1"/>
  <c r="S96" i="61"/>
  <c r="V84" i="61"/>
  <c r="P89" i="61"/>
  <c r="S89" i="61" s="1"/>
  <c r="V89" i="61" s="1"/>
  <c r="P92" i="61"/>
  <c r="S92" i="61" s="1"/>
  <c r="V92" i="61" s="1"/>
  <c r="P83" i="61"/>
  <c r="S83" i="61" s="1"/>
  <c r="V83" i="61" s="1"/>
  <c r="P78" i="61"/>
  <c r="S78" i="61" s="1"/>
  <c r="V78" i="61" s="1"/>
  <c r="P76" i="61"/>
  <c r="S76" i="61" s="1"/>
  <c r="V76" i="61" s="1"/>
  <c r="S64" i="61"/>
  <c r="P58" i="61"/>
  <c r="S58" i="61" s="1"/>
  <c r="V58" i="61" s="1"/>
  <c r="W58" i="61" s="1"/>
  <c r="P56" i="61"/>
  <c r="S56" i="61" s="1"/>
  <c r="V56" i="61" s="1"/>
  <c r="W55" i="61" s="1"/>
  <c r="S48" i="61"/>
  <c r="O51" i="39"/>
  <c r="O50" i="39"/>
  <c r="O28" i="39"/>
  <c r="O29" i="39"/>
  <c r="O20" i="39"/>
  <c r="O26" i="39"/>
  <c r="O22" i="39"/>
  <c r="O54" i="39"/>
  <c r="O45" i="39"/>
  <c r="O12" i="39"/>
  <c r="S22" i="39"/>
  <c r="S26" i="39"/>
  <c r="P78" i="39"/>
  <c r="P74" i="39"/>
  <c r="P70" i="39"/>
  <c r="P65" i="39"/>
  <c r="P61" i="39"/>
  <c r="P57" i="39"/>
  <c r="P53" i="39"/>
  <c r="P49" i="39"/>
  <c r="P45" i="39"/>
  <c r="P41" i="39"/>
  <c r="P37" i="39"/>
  <c r="P33" i="39"/>
  <c r="P26" i="39"/>
  <c r="Q26" i="39" s="1"/>
  <c r="P22" i="39"/>
  <c r="Q22" i="39" s="1"/>
  <c r="N59" i="39"/>
  <c r="O23" i="39" s="1"/>
  <c r="S23" i="39"/>
  <c r="S19" i="39"/>
  <c r="P77" i="39"/>
  <c r="P73" i="39"/>
  <c r="P64" i="39"/>
  <c r="P60" i="39"/>
  <c r="P56" i="39"/>
  <c r="P52" i="39"/>
  <c r="P48" i="39"/>
  <c r="P44" i="39"/>
  <c r="P32" i="39"/>
  <c r="P29" i="39"/>
  <c r="Q29" i="39" s="1"/>
  <c r="P25" i="39"/>
  <c r="Q25" i="39" s="1"/>
  <c r="P21" i="39"/>
  <c r="AJ14" i="39"/>
  <c r="S24" i="39"/>
  <c r="S18" i="39"/>
  <c r="P67" i="39"/>
  <c r="P63" i="39"/>
  <c r="P59" i="39"/>
  <c r="P55" i="39"/>
  <c r="P51" i="39"/>
  <c r="P47" i="39"/>
  <c r="P43" i="39"/>
  <c r="P39" i="39"/>
  <c r="P35" i="39"/>
  <c r="P31" i="39"/>
  <c r="P28" i="39"/>
  <c r="Q28" i="39" s="1"/>
  <c r="P24" i="39"/>
  <c r="Q24" i="39" s="1"/>
  <c r="N63" i="39"/>
  <c r="AN27" i="39"/>
  <c r="AN23" i="39"/>
  <c r="AO23" i="39" s="1"/>
  <c r="M19" i="65"/>
  <c r="N20" i="65" s="1"/>
  <c r="D16" i="65"/>
  <c r="D26" i="65" s="1"/>
  <c r="D19" i="65"/>
  <c r="M18" i="65"/>
  <c r="M17" i="65"/>
  <c r="N17" i="65" s="1"/>
  <c r="M14" i="65"/>
  <c r="D14" i="65"/>
  <c r="E25" i="65"/>
  <c r="E26" i="65"/>
  <c r="G61" i="59"/>
  <c r="D18" i="65"/>
  <c r="D17" i="65"/>
  <c r="G121" i="59"/>
  <c r="G93" i="59"/>
  <c r="G49" i="59"/>
  <c r="G128" i="59"/>
  <c r="M10" i="59"/>
  <c r="M17" i="59"/>
  <c r="K17" i="59"/>
  <c r="M11" i="59"/>
  <c r="D15" i="65"/>
  <c r="G149" i="59"/>
  <c r="G89" i="59"/>
  <c r="G85" i="59"/>
  <c r="G156" i="59"/>
  <c r="G152" i="59"/>
  <c r="G140" i="59"/>
  <c r="G124" i="59"/>
  <c r="G120" i="59"/>
  <c r="G96" i="59"/>
  <c r="G92" i="59"/>
  <c r="G48" i="59"/>
  <c r="G30" i="59"/>
  <c r="G13" i="59"/>
  <c r="K10" i="59"/>
  <c r="K16" i="59"/>
  <c r="L17" i="59" s="1"/>
  <c r="G113" i="59"/>
  <c r="G37" i="59"/>
  <c r="K13" i="59"/>
  <c r="L14" i="59" s="1"/>
  <c r="G171" i="59"/>
  <c r="G139" i="59"/>
  <c r="G135" i="59"/>
  <c r="G131" i="59"/>
  <c r="G127" i="59"/>
  <c r="G99" i="59"/>
  <c r="G95" i="59"/>
  <c r="G87" i="59"/>
  <c r="G75" i="59"/>
  <c r="G67" i="59"/>
  <c r="G55" i="59"/>
  <c r="G43" i="59"/>
  <c r="G35" i="59"/>
  <c r="G21" i="59"/>
  <c r="G157" i="59"/>
  <c r="G125" i="59"/>
  <c r="G101" i="59"/>
  <c r="G77" i="59"/>
  <c r="G73" i="59"/>
  <c r="G69" i="59"/>
  <c r="G28" i="59"/>
  <c r="G9" i="65"/>
  <c r="D54" i="59"/>
  <c r="D115" i="2"/>
  <c r="D101" i="59"/>
  <c r="D167" i="59"/>
  <c r="D181" i="2"/>
  <c r="AA226" i="2"/>
  <c r="AB226" i="2" s="1"/>
  <c r="D153" i="2"/>
  <c r="D139" i="59"/>
  <c r="AA174" i="2"/>
  <c r="D68" i="2"/>
  <c r="D51" i="2"/>
  <c r="D37" i="59"/>
  <c r="AC162" i="2"/>
  <c r="AA101" i="2"/>
  <c r="AA32" i="2"/>
  <c r="AB32" i="2" s="1"/>
  <c r="AA215" i="2"/>
  <c r="AB215" i="2" s="1"/>
  <c r="AB229" i="2"/>
  <c r="AA229" i="2"/>
  <c r="AB237" i="2"/>
  <c r="AA237" i="2"/>
  <c r="AA238" i="2"/>
  <c r="AA214" i="2"/>
  <c r="AB214" i="2" s="1"/>
  <c r="AB180" i="2"/>
  <c r="AC180" i="2"/>
  <c r="AC135" i="2"/>
  <c r="AB135" i="2"/>
  <c r="D101" i="2"/>
  <c r="K17" i="24"/>
  <c r="L16" i="24"/>
  <c r="AA102" i="2"/>
  <c r="AC111" i="2"/>
  <c r="T17" i="3"/>
  <c r="U16" i="3"/>
  <c r="AC172" i="2"/>
  <c r="AC181" i="2"/>
  <c r="AC184" i="2"/>
  <c r="AA223" i="2"/>
  <c r="AB223" i="2" s="1"/>
  <c r="AC236" i="2"/>
  <c r="AA233" i="2"/>
  <c r="AA228" i="2"/>
  <c r="AB228" i="2" s="1"/>
  <c r="D38" i="2"/>
  <c r="D24" i="59"/>
  <c r="P239" i="2"/>
  <c r="P236" i="2"/>
  <c r="P219" i="2"/>
  <c r="P232" i="2"/>
  <c r="AA42" i="2"/>
  <c r="AB42" i="2" s="1"/>
  <c r="AA217" i="2"/>
  <c r="AB217" i="2" s="1"/>
  <c r="AB232" i="2"/>
  <c r="AA232" i="2"/>
  <c r="D142" i="2"/>
  <c r="D128" i="59"/>
  <c r="P226" i="2"/>
  <c r="D88" i="2"/>
  <c r="D74" i="59"/>
  <c r="D166" i="2"/>
  <c r="D152" i="59"/>
  <c r="D126" i="2"/>
  <c r="D112" i="59"/>
  <c r="D77" i="2"/>
  <c r="D63" i="59"/>
  <c r="AA106" i="2"/>
  <c r="AB106" i="2" s="1"/>
  <c r="AA97" i="2"/>
  <c r="AB97" i="2"/>
  <c r="AA225" i="2"/>
  <c r="AB225" i="2" s="1"/>
  <c r="AA224" i="2"/>
  <c r="AB224" i="2" s="1"/>
  <c r="AA219" i="2"/>
  <c r="AB219" i="2" s="1"/>
  <c r="AC227" i="2"/>
  <c r="AA222" i="2"/>
  <c r="AB222" i="2"/>
  <c r="AB27" i="2"/>
  <c r="AA27" i="2"/>
  <c r="AA40" i="2"/>
  <c r="AB67" i="2"/>
  <c r="AA67" i="2"/>
  <c r="AA126" i="2"/>
  <c r="AB126" i="2"/>
  <c r="AA131" i="2"/>
  <c r="AB131" i="2" s="1"/>
  <c r="AA154" i="2"/>
  <c r="AB154" i="2"/>
  <c r="AA157" i="2"/>
  <c r="AB157" i="2" s="1"/>
  <c r="AC90" i="2"/>
  <c r="AA142" i="2"/>
  <c r="AB142" i="2" s="1"/>
  <c r="AA164" i="2"/>
  <c r="AB164" i="2"/>
  <c r="AB167" i="2"/>
  <c r="AA167" i="2"/>
  <c r="AA196" i="2"/>
  <c r="AB196" i="2" s="1"/>
  <c r="D8" i="59"/>
  <c r="D86" i="59"/>
  <c r="AC36" i="2"/>
  <c r="AC140" i="2"/>
  <c r="AB107" i="2"/>
  <c r="AC107" i="2" s="1"/>
  <c r="AB9" i="2"/>
  <c r="AB151" i="2"/>
  <c r="AC151" i="2" s="1"/>
  <c r="F28" i="26"/>
  <c r="AB161" i="2"/>
  <c r="AC161" i="2" s="1"/>
  <c r="AB84" i="2"/>
  <c r="AC84" i="2" s="1"/>
  <c r="AB87" i="2"/>
  <c r="AC87" i="2" s="1"/>
  <c r="AB17" i="2"/>
  <c r="AB16" i="2"/>
  <c r="D6" i="3"/>
  <c r="M6" i="3" s="1"/>
  <c r="D7" i="3"/>
  <c r="M7" i="3" s="1"/>
  <c r="AA55" i="2"/>
  <c r="AA62" i="2"/>
  <c r="AB62" i="2"/>
  <c r="AA149" i="2"/>
  <c r="AB149" i="2"/>
  <c r="AA176" i="2"/>
  <c r="AB176" i="2"/>
  <c r="AA93" i="2"/>
  <c r="AB93" i="2"/>
  <c r="AA137" i="2"/>
  <c r="AB137" i="2" s="1"/>
  <c r="AA168" i="2"/>
  <c r="AB168" i="2"/>
  <c r="J20" i="24"/>
  <c r="Z23" i="26" s="1"/>
  <c r="X23" i="26"/>
  <c r="AB83" i="2"/>
  <c r="AC83" i="2" s="1"/>
  <c r="D60" i="59"/>
  <c r="AC24" i="2"/>
  <c r="AC186" i="2"/>
  <c r="AC70" i="2"/>
  <c r="AC145" i="2"/>
  <c r="AC33" i="2"/>
  <c r="AC200" i="2"/>
  <c r="AC76" i="2"/>
  <c r="AB118" i="2"/>
  <c r="AC118" i="2" s="1"/>
  <c r="P82" i="2"/>
  <c r="P17" i="2"/>
  <c r="P1" i="2" s="1"/>
  <c r="L1" i="26" s="1"/>
  <c r="P69" i="2"/>
  <c r="P212" i="2"/>
  <c r="P56" i="2"/>
  <c r="D13" i="3"/>
  <c r="M13" i="3" s="1"/>
  <c r="F7" i="3"/>
  <c r="AA179" i="2"/>
  <c r="AB179" i="2"/>
  <c r="AA113" i="2"/>
  <c r="AB113" i="2" s="1"/>
  <c r="AA88" i="2"/>
  <c r="AB88" i="2" s="1"/>
  <c r="AA146" i="2"/>
  <c r="AB146" i="2" s="1"/>
  <c r="AA171" i="2"/>
  <c r="AB171" i="2"/>
  <c r="AC203" i="2"/>
  <c r="AA212" i="2"/>
  <c r="AB212" i="2" s="1"/>
  <c r="AB109" i="2"/>
  <c r="AA109" i="2"/>
  <c r="D22" i="2"/>
  <c r="AC29" i="2"/>
  <c r="AC68" i="2"/>
  <c r="AC72" i="2"/>
  <c r="J19" i="24"/>
  <c r="Z22" i="26" s="1"/>
  <c r="AB90" i="2"/>
  <c r="AB15" i="2"/>
  <c r="AB6" i="2"/>
  <c r="P222" i="2"/>
  <c r="F12" i="3"/>
  <c r="F14" i="3"/>
  <c r="AB19" i="2"/>
  <c r="AA19" i="2"/>
  <c r="AB37" i="2"/>
  <c r="AA37" i="2"/>
  <c r="AA130" i="2"/>
  <c r="AB130" i="2" s="1"/>
  <c r="AB153" i="2"/>
  <c r="AA153" i="2"/>
  <c r="AA156" i="2"/>
  <c r="AB156" i="2" s="1"/>
  <c r="AA159" i="2"/>
  <c r="AB159" i="2" s="1"/>
  <c r="AC114" i="2"/>
  <c r="AA117" i="2"/>
  <c r="AB117" i="2"/>
  <c r="AA89" i="2"/>
  <c r="AA144" i="2"/>
  <c r="AB144" i="2" s="1"/>
  <c r="AA169" i="2"/>
  <c r="AB169" i="2"/>
  <c r="AA147" i="2"/>
  <c r="AB147" i="2" s="1"/>
  <c r="AB56" i="2"/>
  <c r="AC56" i="2" s="1"/>
  <c r="O40" i="39"/>
  <c r="AI10" i="39"/>
  <c r="AJ12" i="39"/>
  <c r="AI11" i="39" s="1"/>
  <c r="P19" i="2"/>
  <c r="P175" i="2"/>
  <c r="P188" i="2"/>
  <c r="P84" i="2"/>
  <c r="P81" i="2"/>
  <c r="P172" i="2"/>
  <c r="P120" i="2"/>
  <c r="C22" i="24"/>
  <c r="D22" i="24" s="1"/>
  <c r="C21" i="24"/>
  <c r="D21" i="24" s="1"/>
  <c r="AN29" i="39"/>
  <c r="AO29" i="39" s="1"/>
  <c r="AN19" i="39"/>
  <c r="AN18" i="39"/>
  <c r="G9" i="57"/>
  <c r="H9" i="57" s="1"/>
  <c r="G33" i="57"/>
  <c r="H33" i="57" s="1"/>
  <c r="G21" i="57"/>
  <c r="H21" i="57" s="1"/>
  <c r="G54" i="57"/>
  <c r="H54" i="57" s="1"/>
  <c r="G42" i="57"/>
  <c r="H42" i="57" s="1"/>
  <c r="G24" i="57"/>
  <c r="J24" i="57" s="1"/>
  <c r="G49" i="57"/>
  <c r="H49" i="57" s="1"/>
  <c r="G20" i="57"/>
  <c r="H20" i="57" s="1"/>
  <c r="G45" i="57"/>
  <c r="H45" i="57" s="1"/>
  <c r="G28" i="57"/>
  <c r="H28" i="57" s="1"/>
  <c r="G53" i="57"/>
  <c r="H53" i="57" s="1"/>
  <c r="G46" i="57"/>
  <c r="H46" i="57" s="1"/>
  <c r="G44" i="57"/>
  <c r="H44" i="57" s="1"/>
  <c r="G31" i="57"/>
  <c r="H31" i="57" s="1"/>
  <c r="G12" i="57"/>
  <c r="H12" i="57" s="1"/>
  <c r="G8" i="57"/>
  <c r="J8" i="57" s="1"/>
  <c r="G16" i="57"/>
  <c r="J16" i="57" s="1"/>
  <c r="G35" i="57"/>
  <c r="H35" i="57" s="1"/>
  <c r="G17" i="57"/>
  <c r="H17" i="57" s="1"/>
  <c r="G6" i="57"/>
  <c r="G11" i="57"/>
  <c r="H11" i="57" s="1"/>
  <c r="G51" i="57"/>
  <c r="H51" i="57" s="1"/>
  <c r="G36" i="57"/>
  <c r="H36" i="57" s="1"/>
  <c r="G41" i="57"/>
  <c r="H41" i="57" s="1"/>
  <c r="G29" i="57"/>
  <c r="H29" i="57" s="1"/>
  <c r="G50" i="57"/>
  <c r="H50" i="57" s="1"/>
  <c r="G37" i="57"/>
  <c r="H37" i="57" s="1"/>
  <c r="G25" i="57"/>
  <c r="H25" i="57" s="1"/>
  <c r="G32" i="57"/>
  <c r="H32" i="57" s="1"/>
  <c r="G13" i="57"/>
  <c r="H13" i="57" s="1"/>
  <c r="G39" i="57"/>
  <c r="H39" i="57" s="1"/>
  <c r="G30" i="57"/>
  <c r="H30" i="57" s="1"/>
  <c r="G26" i="57"/>
  <c r="H26" i="57" s="1"/>
  <c r="G22" i="57"/>
  <c r="H22" i="57" s="1"/>
  <c r="G18" i="57"/>
  <c r="H18" i="57" s="1"/>
  <c r="G10" i="57"/>
  <c r="H10" i="57" s="1"/>
  <c r="C24" i="24"/>
  <c r="H28" i="25"/>
  <c r="H32" i="25" s="1"/>
  <c r="O21" i="39"/>
  <c r="O46" i="39"/>
  <c r="O49" i="39"/>
  <c r="P55" i="2"/>
  <c r="P224" i="2" s="1"/>
  <c r="P32" i="2"/>
  <c r="P97" i="2"/>
  <c r="P110" i="2"/>
  <c r="P71" i="2"/>
  <c r="P68" i="2"/>
  <c r="P133" i="2"/>
  <c r="P94" i="2"/>
  <c r="O62" i="39"/>
  <c r="AN30" i="39"/>
  <c r="AO30" i="39" s="1"/>
  <c r="AN20" i="39"/>
  <c r="AO20" i="39" s="1"/>
  <c r="AN33" i="39"/>
  <c r="AO33" i="39" s="1"/>
  <c r="AN34" i="39"/>
  <c r="AO34" i="39" s="1"/>
  <c r="AN28" i="39"/>
  <c r="AO28" i="39" s="1"/>
  <c r="M6" i="59"/>
  <c r="G6" i="59"/>
  <c r="G172" i="59"/>
  <c r="M16" i="59"/>
  <c r="AN31" i="39"/>
  <c r="AO31" i="39" s="1"/>
  <c r="AN26" i="39"/>
  <c r="AO26" i="39" s="1"/>
  <c r="AN25" i="39"/>
  <c r="AO25" i="39" s="1"/>
  <c r="P10" i="59"/>
  <c r="F58" i="61"/>
  <c r="X58" i="61"/>
  <c r="AN17" i="39"/>
  <c r="G47" i="57"/>
  <c r="H47" i="57" s="1"/>
  <c r="G43" i="57"/>
  <c r="H43" i="57" s="1"/>
  <c r="G38" i="57"/>
  <c r="H38" i="57" s="1"/>
  <c r="G34" i="57"/>
  <c r="J34" i="57" s="1"/>
  <c r="G14" i="57"/>
  <c r="H14" i="57" s="1"/>
  <c r="AN21" i="39"/>
  <c r="AO21" i="39" s="1"/>
  <c r="AN22" i="39"/>
  <c r="AO22" i="39" s="1"/>
  <c r="J105" i="60"/>
  <c r="J104" i="60"/>
  <c r="G148" i="59"/>
  <c r="G116" i="59"/>
  <c r="G104" i="59"/>
  <c r="G100" i="59"/>
  <c r="G76" i="59"/>
  <c r="G64" i="59"/>
  <c r="G60" i="59"/>
  <c r="K12" i="59"/>
  <c r="M7" i="59"/>
  <c r="K9" i="59"/>
  <c r="M14" i="59"/>
  <c r="K8" i="59"/>
  <c r="K6" i="59"/>
  <c r="P6" i="59" s="1"/>
  <c r="K11" i="59"/>
  <c r="M8" i="59"/>
  <c r="N8" i="59" s="1"/>
  <c r="M13" i="59"/>
  <c r="M12" i="59"/>
  <c r="N12" i="59" s="1"/>
  <c r="M15" i="59"/>
  <c r="M18" i="59"/>
  <c r="N18" i="59" s="1"/>
  <c r="M9" i="59"/>
  <c r="N9" i="59" s="1"/>
  <c r="K15" i="59"/>
  <c r="K18" i="59"/>
  <c r="C38" i="61"/>
  <c r="C30" i="61"/>
  <c r="C10" i="61"/>
  <c r="R100" i="61"/>
  <c r="S66" i="61"/>
  <c r="P60" i="61"/>
  <c r="S60" i="61" s="1"/>
  <c r="V60" i="61" s="1"/>
  <c r="P59" i="61"/>
  <c r="S59" i="61" s="1"/>
  <c r="V59" i="61" s="1"/>
  <c r="W59" i="61" s="1"/>
  <c r="V64" i="61"/>
  <c r="AN32" i="39"/>
  <c r="AO32" i="39" s="1"/>
  <c r="AN35" i="39"/>
  <c r="AN24" i="39"/>
  <c r="AO24" i="39" s="1"/>
  <c r="G52" i="57"/>
  <c r="H52" i="57" s="1"/>
  <c r="G48" i="57"/>
  <c r="H48" i="57" s="1"/>
  <c r="G27" i="57"/>
  <c r="H27" i="57" s="1"/>
  <c r="G23" i="57"/>
  <c r="H23" i="57" s="1"/>
  <c r="G19" i="57"/>
  <c r="H19" i="57" s="1"/>
  <c r="G15" i="57"/>
  <c r="H15" i="57" s="1"/>
  <c r="G7" i="57"/>
  <c r="J7" i="57" s="1"/>
  <c r="S67" i="61"/>
  <c r="V67" i="61" s="1"/>
  <c r="F56" i="61"/>
  <c r="G163" i="59"/>
  <c r="G151" i="59"/>
  <c r="G119" i="59"/>
  <c r="G107" i="59"/>
  <c r="G63" i="59"/>
  <c r="G14" i="59"/>
  <c r="G9" i="59"/>
  <c r="P72" i="61"/>
  <c r="S72" i="61" s="1"/>
  <c r="V72" i="61" s="1"/>
  <c r="P71" i="61"/>
  <c r="S71" i="61" s="1"/>
  <c r="V71" i="61" s="1"/>
  <c r="V61" i="61"/>
  <c r="V82" i="61"/>
  <c r="V93" i="61"/>
  <c r="G22" i="59"/>
  <c r="V48" i="61"/>
  <c r="V79" i="61"/>
  <c r="G29" i="59"/>
  <c r="S85" i="61"/>
  <c r="V85" i="61" s="1"/>
  <c r="P52" i="61"/>
  <c r="S52" i="61" s="1"/>
  <c r="V52" i="61" s="1"/>
  <c r="P51" i="61"/>
  <c r="S51" i="61" s="1"/>
  <c r="V51" i="61" s="1"/>
  <c r="V46" i="61"/>
  <c r="V55" i="61"/>
  <c r="V77" i="61"/>
  <c r="V98" i="61"/>
  <c r="V68" i="61"/>
  <c r="M10" i="65"/>
  <c r="H18" i="3"/>
  <c r="T20" i="26" s="1"/>
  <c r="H19" i="3"/>
  <c r="M26" i="3"/>
  <c r="U28" i="26" s="1"/>
  <c r="M24" i="3"/>
  <c r="U26" i="26" s="1"/>
  <c r="D95" i="60"/>
  <c r="H89" i="60"/>
  <c r="H93" i="60"/>
  <c r="H97" i="60"/>
  <c r="D91" i="60"/>
  <c r="D94" i="60"/>
  <c r="H95" i="60"/>
  <c r="H91" i="60"/>
  <c r="D93" i="60"/>
  <c r="D89" i="60"/>
  <c r="H94" i="60"/>
  <c r="D92" i="60"/>
  <c r="H92" i="60"/>
  <c r="D90" i="60"/>
  <c r="H90" i="60"/>
  <c r="D97" i="60"/>
  <c r="AE121" i="60"/>
  <c r="M27" i="3"/>
  <c r="U29" i="26" s="1"/>
  <c r="Q17" i="65"/>
  <c r="M23" i="3"/>
  <c r="U25" i="26" s="1"/>
  <c r="M15" i="65"/>
  <c r="J9" i="65"/>
  <c r="M9" i="65"/>
  <c r="M19" i="3"/>
  <c r="U21" i="26" s="1"/>
  <c r="M16" i="3"/>
  <c r="M13" i="65"/>
  <c r="H20" i="3"/>
  <c r="D18" i="3"/>
  <c r="J18" i="3" s="1"/>
  <c r="J19" i="3" s="1"/>
  <c r="J20" i="3" s="1"/>
  <c r="J21" i="3" s="1"/>
  <c r="J22" i="3" s="1"/>
  <c r="J23" i="3" s="1"/>
  <c r="J24" i="3" s="1"/>
  <c r="J25" i="3" s="1"/>
  <c r="J26" i="3" s="1"/>
  <c r="J27" i="3" s="1"/>
  <c r="H27" i="3"/>
  <c r="H25" i="3"/>
  <c r="M25" i="3" s="1"/>
  <c r="U27" i="26" s="1"/>
  <c r="M22" i="3"/>
  <c r="U24" i="26" s="1"/>
  <c r="M17" i="3"/>
  <c r="U19" i="26" s="1"/>
  <c r="J128" i="60"/>
  <c r="M21" i="65"/>
  <c r="N21" i="65" s="1"/>
  <c r="K86" i="60"/>
  <c r="Z17" i="60" l="1"/>
  <c r="Q36" i="39"/>
  <c r="D14" i="61"/>
  <c r="Q58" i="39"/>
  <c r="Z39" i="60"/>
  <c r="D36" i="61"/>
  <c r="D45" i="61"/>
  <c r="Z48" i="60"/>
  <c r="Q67" i="39"/>
  <c r="D13" i="61"/>
  <c r="Z16" i="60"/>
  <c r="Q35" i="39"/>
  <c r="D17" i="61"/>
  <c r="Q39" i="39"/>
  <c r="Z20" i="60"/>
  <c r="Z14" i="60"/>
  <c r="Q33" i="39"/>
  <c r="D11" i="61"/>
  <c r="Q42" i="39"/>
  <c r="Z23" i="60"/>
  <c r="D20" i="61"/>
  <c r="Q41" i="39"/>
  <c r="D19" i="61"/>
  <c r="Z22" i="60"/>
  <c r="D41" i="61"/>
  <c r="Z44" i="60"/>
  <c r="Q63" i="39"/>
  <c r="Z45" i="60"/>
  <c r="Q64" i="39"/>
  <c r="D42" i="61"/>
  <c r="O57" i="39"/>
  <c r="O24" i="39"/>
  <c r="O25" i="39"/>
  <c r="O31" i="39"/>
  <c r="O39" i="39"/>
  <c r="Z33" i="60" s="1"/>
  <c r="O30" i="39"/>
  <c r="O61" i="39"/>
  <c r="O19" i="39"/>
  <c r="O36" i="39"/>
  <c r="O17" i="39"/>
  <c r="O55" i="39"/>
  <c r="O38" i="39"/>
  <c r="O35" i="39"/>
  <c r="O59" i="39"/>
  <c r="O60" i="39"/>
  <c r="O64" i="39"/>
  <c r="O52" i="39"/>
  <c r="O33" i="39"/>
  <c r="O34" i="39"/>
  <c r="O56" i="39"/>
  <c r="AP32" i="39"/>
  <c r="O27" i="39"/>
  <c r="Q40" i="39" s="1"/>
  <c r="O53" i="39"/>
  <c r="O18" i="39"/>
  <c r="O63" i="39"/>
  <c r="Q21" i="39"/>
  <c r="P80" i="39"/>
  <c r="O37" i="39"/>
  <c r="O58" i="39"/>
  <c r="O41" i="39"/>
  <c r="O44" i="39"/>
  <c r="O48" i="39"/>
  <c r="O32" i="39"/>
  <c r="O65" i="39"/>
  <c r="O42" i="39"/>
  <c r="O47" i="39"/>
  <c r="O43" i="39"/>
  <c r="N18" i="65"/>
  <c r="D25" i="65"/>
  <c r="N19" i="65"/>
  <c r="N15" i="59"/>
  <c r="N17" i="59"/>
  <c r="N11" i="59"/>
  <c r="N7" i="59"/>
  <c r="P17" i="59"/>
  <c r="L2" i="26"/>
  <c r="O25" i="26" s="1"/>
  <c r="O29" i="26"/>
  <c r="P24" i="26"/>
  <c r="P17" i="26"/>
  <c r="O17" i="26"/>
  <c r="O19" i="26"/>
  <c r="D82" i="60"/>
  <c r="D105" i="60" s="1"/>
  <c r="M59" i="60"/>
  <c r="D86" i="60"/>
  <c r="D81" i="60"/>
  <c r="D77" i="60"/>
  <c r="K64" i="60"/>
  <c r="K74" i="60"/>
  <c r="K75" i="60"/>
  <c r="K88" i="60"/>
  <c r="D59" i="60"/>
  <c r="D84" i="60"/>
  <c r="D79" i="60"/>
  <c r="D71" i="60"/>
  <c r="D104" i="60" s="1"/>
  <c r="K72" i="60"/>
  <c r="K73" i="60"/>
  <c r="K67" i="60"/>
  <c r="K70" i="60"/>
  <c r="K69" i="60"/>
  <c r="D87" i="60"/>
  <c r="K82" i="60"/>
  <c r="K76" i="60"/>
  <c r="H81" i="60"/>
  <c r="K84" i="60"/>
  <c r="H82" i="60"/>
  <c r="H105" i="60" s="1"/>
  <c r="K63" i="60"/>
  <c r="H76" i="60"/>
  <c r="H78" i="60"/>
  <c r="D85" i="60"/>
  <c r="D76" i="60"/>
  <c r="K68" i="60"/>
  <c r="K66" i="60"/>
  <c r="H71" i="60"/>
  <c r="H104" i="60" s="1"/>
  <c r="K77" i="60"/>
  <c r="H79" i="60"/>
  <c r="K87" i="60"/>
  <c r="D83" i="60"/>
  <c r="D88" i="60"/>
  <c r="K81" i="60"/>
  <c r="K60" i="60"/>
  <c r="V60" i="60" s="1"/>
  <c r="H77" i="60"/>
  <c r="K65" i="60"/>
  <c r="K80" i="60"/>
  <c r="H80" i="60"/>
  <c r="K79" i="60"/>
  <c r="K61" i="60"/>
  <c r="K85" i="60"/>
  <c r="D80" i="60"/>
  <c r="K83" i="60"/>
  <c r="K71" i="60"/>
  <c r="K62" i="60"/>
  <c r="N59" i="60"/>
  <c r="H83" i="60"/>
  <c r="N10" i="65"/>
  <c r="N11" i="65"/>
  <c r="T29" i="26"/>
  <c r="S27" i="3"/>
  <c r="N16" i="65"/>
  <c r="N15" i="65"/>
  <c r="P17" i="65"/>
  <c r="Q25" i="65"/>
  <c r="Q26" i="65"/>
  <c r="K78" i="60"/>
  <c r="T22" i="26"/>
  <c r="S20" i="3"/>
  <c r="J92" i="60"/>
  <c r="M20" i="3"/>
  <c r="U22" i="26" s="1"/>
  <c r="AG121" i="60"/>
  <c r="AH121" i="60" s="1"/>
  <c r="W60" i="61"/>
  <c r="U59" i="60"/>
  <c r="G57" i="61"/>
  <c r="I48" i="57"/>
  <c r="C9" i="61"/>
  <c r="C25" i="61"/>
  <c r="C41" i="61"/>
  <c r="C8" i="61"/>
  <c r="J16" i="61" s="1"/>
  <c r="C24" i="61"/>
  <c r="C12" i="61"/>
  <c r="C31" i="61"/>
  <c r="C48" i="61"/>
  <c r="C43" i="61"/>
  <c r="C20" i="61"/>
  <c r="C13" i="61"/>
  <c r="C29" i="61"/>
  <c r="C45" i="61"/>
  <c r="C40" i="61"/>
  <c r="C28" i="61"/>
  <c r="C47" i="61"/>
  <c r="C23" i="61"/>
  <c r="C19" i="61"/>
  <c r="C36" i="61"/>
  <c r="C14" i="61"/>
  <c r="C17" i="61"/>
  <c r="C49" i="61"/>
  <c r="C46" i="61"/>
  <c r="C44" i="61"/>
  <c r="C55" i="61"/>
  <c r="C52" i="61"/>
  <c r="C26" i="61"/>
  <c r="C21" i="61"/>
  <c r="C53" i="61"/>
  <c r="C39" i="61"/>
  <c r="C15" i="61"/>
  <c r="C56" i="61"/>
  <c r="C54" i="61"/>
  <c r="C37" i="61"/>
  <c r="C22" i="61"/>
  <c r="C27" i="61"/>
  <c r="C32" i="61"/>
  <c r="C51" i="61"/>
  <c r="C11" i="61"/>
  <c r="C33" i="61"/>
  <c r="C35" i="61"/>
  <c r="C18" i="61"/>
  <c r="C50" i="61"/>
  <c r="C16" i="61"/>
  <c r="C42" i="61"/>
  <c r="N14" i="59"/>
  <c r="P14" i="59"/>
  <c r="AP25" i="39"/>
  <c r="AP28" i="39"/>
  <c r="AP20" i="39"/>
  <c r="AO15" i="39"/>
  <c r="AO12" i="39" s="1"/>
  <c r="Z56" i="60"/>
  <c r="D53" i="61"/>
  <c r="Q75" i="39"/>
  <c r="D30" i="61"/>
  <c r="Q52" i="39"/>
  <c r="I50" i="57"/>
  <c r="I28" i="57"/>
  <c r="AP29" i="39"/>
  <c r="J21" i="24"/>
  <c r="Z24" i="26" s="1"/>
  <c r="X24" i="26"/>
  <c r="P227" i="2"/>
  <c r="P214" i="2"/>
  <c r="AC117" i="2"/>
  <c r="AC19" i="2"/>
  <c r="P237" i="2"/>
  <c r="AC171" i="2"/>
  <c r="AC179" i="2"/>
  <c r="D23" i="24"/>
  <c r="AC176" i="2"/>
  <c r="AC62" i="2"/>
  <c r="AC164" i="2"/>
  <c r="D127" i="2"/>
  <c r="D113" i="59"/>
  <c r="U17" i="3"/>
  <c r="D102" i="2"/>
  <c r="D88" i="59"/>
  <c r="J97" i="60"/>
  <c r="P18" i="59"/>
  <c r="L18" i="59"/>
  <c r="L11" i="59"/>
  <c r="P11" i="59"/>
  <c r="L9" i="59"/>
  <c r="P9" i="59"/>
  <c r="AP22" i="39"/>
  <c r="L61" i="57"/>
  <c r="G116" i="60" s="1"/>
  <c r="U61" i="60"/>
  <c r="G58" i="61"/>
  <c r="AP26" i="39"/>
  <c r="N16" i="59"/>
  <c r="P16" i="59"/>
  <c r="L7" i="59"/>
  <c r="AP34" i="39"/>
  <c r="AP30" i="39"/>
  <c r="I74" i="39"/>
  <c r="I72" i="39"/>
  <c r="Z47" i="60"/>
  <c r="Q66" i="39"/>
  <c r="D44" i="61"/>
  <c r="Z12" i="60"/>
  <c r="Q31" i="39"/>
  <c r="D9" i="61"/>
  <c r="D25" i="24"/>
  <c r="D24" i="24"/>
  <c r="I26" i="57"/>
  <c r="I32" i="57"/>
  <c r="I29" i="57"/>
  <c r="I44" i="57"/>
  <c r="I45" i="57"/>
  <c r="I42" i="57"/>
  <c r="H61" i="57"/>
  <c r="I51" i="57" s="1"/>
  <c r="I9" i="57"/>
  <c r="AP23" i="39"/>
  <c r="X25" i="26"/>
  <c r="N25" i="26" s="1"/>
  <c r="J22" i="24"/>
  <c r="Z25" i="26" s="1"/>
  <c r="P25" i="26" s="1"/>
  <c r="AC156" i="2"/>
  <c r="AC130" i="2"/>
  <c r="D9" i="59"/>
  <c r="C22" i="2"/>
  <c r="D23" i="2"/>
  <c r="AC212" i="2"/>
  <c r="AC167" i="2"/>
  <c r="AC154" i="2"/>
  <c r="AC126" i="2"/>
  <c r="AB40" i="2"/>
  <c r="AC40" i="2" s="1"/>
  <c r="AC97" i="2"/>
  <c r="D78" i="2"/>
  <c r="D64" i="59"/>
  <c r="D167" i="2"/>
  <c r="D153" i="59"/>
  <c r="AC102" i="2"/>
  <c r="AC237" i="2"/>
  <c r="D38" i="59"/>
  <c r="D52" i="2"/>
  <c r="AB102" i="2"/>
  <c r="W61" i="61"/>
  <c r="P100" i="61"/>
  <c r="I19" i="57"/>
  <c r="I52" i="57"/>
  <c r="V66" i="61"/>
  <c r="S100" i="61"/>
  <c r="T27" i="26"/>
  <c r="O27" i="26" s="1"/>
  <c r="S25" i="3"/>
  <c r="M18" i="3"/>
  <c r="U20" i="26" s="1"/>
  <c r="P20" i="26" s="1"/>
  <c r="S18" i="3"/>
  <c r="T18" i="3" s="1"/>
  <c r="S20" i="26"/>
  <c r="N20" i="26" s="1"/>
  <c r="J90" i="60"/>
  <c r="J94" i="60"/>
  <c r="J95" i="60"/>
  <c r="J93" i="60"/>
  <c r="S19" i="3"/>
  <c r="T21" i="26"/>
  <c r="O21" i="26" s="1"/>
  <c r="N10" i="59"/>
  <c r="N20" i="59" s="1"/>
  <c r="I23" i="57"/>
  <c r="AP24" i="39"/>
  <c r="C34" i="61"/>
  <c r="L15" i="59"/>
  <c r="P15" i="59"/>
  <c r="L16" i="59"/>
  <c r="AP21" i="39"/>
  <c r="I14" i="57"/>
  <c r="I47" i="57"/>
  <c r="AP31" i="39"/>
  <c r="P7" i="59"/>
  <c r="Z43" i="60"/>
  <c r="D40" i="61"/>
  <c r="Q62" i="39"/>
  <c r="Q34" i="39"/>
  <c r="Z15" i="60"/>
  <c r="D12" i="61"/>
  <c r="I10" i="57"/>
  <c r="I30" i="57"/>
  <c r="I25" i="57"/>
  <c r="I41" i="57"/>
  <c r="J6" i="57"/>
  <c r="J61" i="57" s="1"/>
  <c r="G61" i="57"/>
  <c r="I46" i="57"/>
  <c r="I20" i="57"/>
  <c r="I54" i="57"/>
  <c r="D31" i="61"/>
  <c r="Q53" i="39"/>
  <c r="Z34" i="60"/>
  <c r="AC169" i="2"/>
  <c r="AB89" i="2"/>
  <c r="AC89" i="2" s="1"/>
  <c r="AC153" i="2"/>
  <c r="AC37" i="2"/>
  <c r="AC109" i="2"/>
  <c r="AC146" i="2"/>
  <c r="AC113" i="2"/>
  <c r="P225" i="2"/>
  <c r="P238" i="2"/>
  <c r="AC168" i="2"/>
  <c r="AC93" i="2"/>
  <c r="AC149" i="2"/>
  <c r="AB55" i="2"/>
  <c r="AC55" i="2" s="1"/>
  <c r="AC142" i="2"/>
  <c r="AC67" i="2"/>
  <c r="AC27" i="2"/>
  <c r="L18" i="3"/>
  <c r="L19" i="3" s="1"/>
  <c r="L20" i="3" s="1"/>
  <c r="L21" i="3" s="1"/>
  <c r="L22" i="3" s="1"/>
  <c r="L23" i="3" s="1"/>
  <c r="L24" i="3" s="1"/>
  <c r="L25" i="3" s="1"/>
  <c r="L26" i="3" s="1"/>
  <c r="L27" i="3" s="1"/>
  <c r="AC232" i="2"/>
  <c r="H21" i="24"/>
  <c r="H22" i="24" s="1"/>
  <c r="H23" i="24" s="1"/>
  <c r="H24" i="24" s="1"/>
  <c r="H25" i="24" s="1"/>
  <c r="H26" i="24" s="1"/>
  <c r="D39" i="2"/>
  <c r="D25" i="59"/>
  <c r="AC228" i="2"/>
  <c r="AC32" i="2"/>
  <c r="D69" i="2"/>
  <c r="D55" i="59"/>
  <c r="D168" i="59"/>
  <c r="D182" i="2"/>
  <c r="D116" i="2"/>
  <c r="D102" i="59"/>
  <c r="N13" i="65"/>
  <c r="N14" i="65"/>
  <c r="J91" i="60"/>
  <c r="N16" i="3"/>
  <c r="U18" i="26"/>
  <c r="P18" i="26" s="1"/>
  <c r="K18" i="26" s="1"/>
  <c r="D106" i="60"/>
  <c r="J89" i="60"/>
  <c r="J106" i="60" s="1"/>
  <c r="H106" i="60"/>
  <c r="F55" i="61"/>
  <c r="W54" i="61"/>
  <c r="X55" i="61" s="1"/>
  <c r="X56" i="61"/>
  <c r="I27" i="57"/>
  <c r="X59" i="61"/>
  <c r="F59" i="61"/>
  <c r="P13" i="59"/>
  <c r="P8" i="59"/>
  <c r="L8" i="59"/>
  <c r="L12" i="59"/>
  <c r="P12" i="59"/>
  <c r="L13" i="59"/>
  <c r="AN15" i="39"/>
  <c r="AN13" i="39"/>
  <c r="L10" i="59"/>
  <c r="AP33" i="39"/>
  <c r="D18" i="61"/>
  <c r="Q59" i="39"/>
  <c r="Z40" i="60"/>
  <c r="D37" i="61"/>
  <c r="I18" i="57"/>
  <c r="I39" i="57"/>
  <c r="I37" i="57"/>
  <c r="I36" i="57"/>
  <c r="I17" i="57"/>
  <c r="I12" i="57"/>
  <c r="I53" i="57"/>
  <c r="I49" i="57"/>
  <c r="I21" i="57"/>
  <c r="AC147" i="2"/>
  <c r="AC144" i="2"/>
  <c r="AC159" i="2"/>
  <c r="AC88" i="2"/>
  <c r="AC137" i="2"/>
  <c r="AC196" i="2"/>
  <c r="AC157" i="2"/>
  <c r="AC131" i="2"/>
  <c r="AC106" i="2"/>
  <c r="D75" i="59"/>
  <c r="D89" i="2"/>
  <c r="D143" i="2"/>
  <c r="D129" i="59"/>
  <c r="AC42" i="2"/>
  <c r="AB233" i="2"/>
  <c r="AC233" i="2" s="1"/>
  <c r="K18" i="24"/>
  <c r="L17" i="24"/>
  <c r="E20" i="26"/>
  <c r="E48" i="26" s="1"/>
  <c r="AB238" i="2"/>
  <c r="AC238" i="2" s="1"/>
  <c r="AC229" i="2"/>
  <c r="AB101" i="2"/>
  <c r="AC101" i="2" s="1"/>
  <c r="AB174" i="2"/>
  <c r="AC174" i="2" s="1"/>
  <c r="D154" i="2"/>
  <c r="D140" i="59"/>
  <c r="D32" i="61" l="1"/>
  <c r="Z35" i="60"/>
  <c r="Q54" i="39"/>
  <c r="Q72" i="39"/>
  <c r="Z53" i="60"/>
  <c r="D50" i="61"/>
  <c r="Z21" i="60"/>
  <c r="D23" i="61"/>
  <c r="Z26" i="60"/>
  <c r="Q45" i="39"/>
  <c r="Q71" i="39"/>
  <c r="D49" i="61"/>
  <c r="Z52" i="60"/>
  <c r="Z46" i="60"/>
  <c r="D43" i="61"/>
  <c r="Q65" i="39"/>
  <c r="AB78" i="39" s="1"/>
  <c r="Z29" i="60"/>
  <c r="Q48" i="39"/>
  <c r="D26" i="61"/>
  <c r="Q49" i="39"/>
  <c r="Z30" i="60"/>
  <c r="D27" i="61"/>
  <c r="D48" i="61"/>
  <c r="Z51" i="60"/>
  <c r="Q70" i="39"/>
  <c r="Q30" i="39"/>
  <c r="D8" i="61"/>
  <c r="Z11" i="60"/>
  <c r="Q37" i="39"/>
  <c r="D15" i="61"/>
  <c r="Z18" i="60"/>
  <c r="Q56" i="39"/>
  <c r="D34" i="61"/>
  <c r="Z37" i="60"/>
  <c r="D39" i="61"/>
  <c r="Z42" i="60"/>
  <c r="Q61" i="39"/>
  <c r="Q69" i="39"/>
  <c r="Z50" i="60"/>
  <c r="D47" i="61"/>
  <c r="Q77" i="39"/>
  <c r="D55" i="61"/>
  <c r="Z58" i="60"/>
  <c r="Z32" i="60"/>
  <c r="Q51" i="39"/>
  <c r="D29" i="61"/>
  <c r="D22" i="61"/>
  <c r="Z25" i="60"/>
  <c r="Q44" i="39"/>
  <c r="Z59" i="60"/>
  <c r="Q78" i="39"/>
  <c r="D56" i="61"/>
  <c r="Z27" i="60"/>
  <c r="Q46" i="39"/>
  <c r="D24" i="61"/>
  <c r="D21" i="61"/>
  <c r="Z24" i="60"/>
  <c r="Q43" i="39"/>
  <c r="D54" i="61"/>
  <c r="Q76" i="39"/>
  <c r="Z57" i="60"/>
  <c r="Q60" i="39"/>
  <c r="D38" i="61"/>
  <c r="Z41" i="60"/>
  <c r="D28" i="61"/>
  <c r="Q50" i="39"/>
  <c r="Z31" i="60"/>
  <c r="Q32" i="39"/>
  <c r="Z13" i="60"/>
  <c r="D10" i="61"/>
  <c r="O67" i="39"/>
  <c r="Z36" i="60"/>
  <c r="D33" i="61"/>
  <c r="Q55" i="39"/>
  <c r="Q57" i="39"/>
  <c r="D35" i="61"/>
  <c r="Z38" i="60"/>
  <c r="D25" i="61"/>
  <c r="Z28" i="60"/>
  <c r="Q47" i="39"/>
  <c r="Z54" i="60"/>
  <c r="Q73" i="39"/>
  <c r="D51" i="61"/>
  <c r="D46" i="61"/>
  <c r="Z49" i="60"/>
  <c r="Q68" i="39"/>
  <c r="D52" i="61"/>
  <c r="Z55" i="60"/>
  <c r="Q74" i="39"/>
  <c r="D16" i="61"/>
  <c r="Q38" i="39"/>
  <c r="Z19" i="60"/>
  <c r="O22" i="26"/>
  <c r="O20" i="26"/>
  <c r="P21" i="26"/>
  <c r="P22" i="26"/>
  <c r="O28" i="26"/>
  <c r="N17" i="26"/>
  <c r="O26" i="26"/>
  <c r="N18" i="26"/>
  <c r="I18" i="26" s="1"/>
  <c r="I19" i="26" s="1"/>
  <c r="I20" i="26" s="1"/>
  <c r="I21" i="26" s="1"/>
  <c r="I22" i="26" s="1"/>
  <c r="I23" i="26" s="1"/>
  <c r="I24" i="26" s="1"/>
  <c r="I25" i="26" s="1"/>
  <c r="N19" i="26"/>
  <c r="P23" i="26"/>
  <c r="P19" i="26"/>
  <c r="N29" i="26"/>
  <c r="O18" i="26"/>
  <c r="J18" i="26" s="1"/>
  <c r="N24" i="26"/>
  <c r="P29" i="26"/>
  <c r="N22" i="26"/>
  <c r="O24" i="26"/>
  <c r="N23" i="26"/>
  <c r="N21" i="26"/>
  <c r="K19" i="26"/>
  <c r="C18" i="26"/>
  <c r="U18" i="3"/>
  <c r="T19" i="3"/>
  <c r="D65" i="59"/>
  <c r="D79" i="2"/>
  <c r="J23" i="24"/>
  <c r="Z26" i="26" s="1"/>
  <c r="P26" i="26" s="1"/>
  <c r="X26" i="26"/>
  <c r="N26" i="26" s="1"/>
  <c r="D90" i="2"/>
  <c r="D76" i="59"/>
  <c r="W53" i="61"/>
  <c r="X54" i="61" s="1"/>
  <c r="F54" i="61"/>
  <c r="D183" i="2"/>
  <c r="D169" i="59"/>
  <c r="D70" i="2"/>
  <c r="D56" i="59"/>
  <c r="F61" i="61"/>
  <c r="W62" i="61"/>
  <c r="X61" i="61"/>
  <c r="D53" i="2"/>
  <c r="D39" i="59"/>
  <c r="D168" i="2"/>
  <c r="D154" i="59"/>
  <c r="I11" i="57"/>
  <c r="I61" i="57" s="1"/>
  <c r="X27" i="26"/>
  <c r="N27" i="26" s="1"/>
  <c r="J24" i="24"/>
  <c r="Z27" i="26" s="1"/>
  <c r="P27" i="26" s="1"/>
  <c r="AB77" i="39"/>
  <c r="I43" i="57"/>
  <c r="I31" i="57"/>
  <c r="I13" i="57"/>
  <c r="AP15" i="39"/>
  <c r="AP37" i="39"/>
  <c r="AP12" i="39" s="1"/>
  <c r="AP10" i="39" s="1"/>
  <c r="I38" i="57"/>
  <c r="I15" i="57"/>
  <c r="X60" i="61"/>
  <c r="F60" i="61"/>
  <c r="N25" i="65"/>
  <c r="N26" i="65"/>
  <c r="V61" i="60"/>
  <c r="W61" i="60" s="1"/>
  <c r="U62" i="60"/>
  <c r="V62" i="60" s="1"/>
  <c r="W62" i="60" s="1"/>
  <c r="G59" i="61"/>
  <c r="U58" i="60"/>
  <c r="G55" i="61"/>
  <c r="X28" i="26"/>
  <c r="N28" i="26" s="1"/>
  <c r="J25" i="24"/>
  <c r="Z28" i="26" s="1"/>
  <c r="P28" i="26" s="1"/>
  <c r="L20" i="59"/>
  <c r="D128" i="2"/>
  <c r="D114" i="59"/>
  <c r="I35" i="57"/>
  <c r="I22" i="57"/>
  <c r="G56" i="61"/>
  <c r="J19" i="26"/>
  <c r="J20" i="26" s="1"/>
  <c r="J21" i="26" s="1"/>
  <c r="J22" i="26" s="1"/>
  <c r="D155" i="2"/>
  <c r="D141" i="59"/>
  <c r="E21" i="26"/>
  <c r="E49" i="26" s="1"/>
  <c r="L18" i="24"/>
  <c r="K19" i="24"/>
  <c r="N17" i="3"/>
  <c r="AC7" i="2"/>
  <c r="O16" i="3"/>
  <c r="D18" i="26"/>
  <c r="D46" i="26" s="1"/>
  <c r="D144" i="2"/>
  <c r="D130" i="59"/>
  <c r="AO13" i="39"/>
  <c r="AO8" i="39"/>
  <c r="AO9" i="39"/>
  <c r="D103" i="59"/>
  <c r="D117" i="2"/>
  <c r="D26" i="59"/>
  <c r="D40" i="2"/>
  <c r="S10" i="61"/>
  <c r="V10" i="61" s="1"/>
  <c r="S18" i="61"/>
  <c r="V18" i="61" s="1"/>
  <c r="S26" i="61"/>
  <c r="V26" i="61" s="1"/>
  <c r="S34" i="61"/>
  <c r="V34" i="61" s="1"/>
  <c r="S42" i="61"/>
  <c r="V42" i="61" s="1"/>
  <c r="S24" i="61"/>
  <c r="V24" i="61" s="1"/>
  <c r="S40" i="61"/>
  <c r="V40" i="61" s="1"/>
  <c r="S25" i="61"/>
  <c r="V25" i="61" s="1"/>
  <c r="S37" i="61"/>
  <c r="V37" i="61" s="1"/>
  <c r="S11" i="61"/>
  <c r="V11" i="61" s="1"/>
  <c r="S19" i="61"/>
  <c r="V19" i="61" s="1"/>
  <c r="S27" i="61"/>
  <c r="V27" i="61" s="1"/>
  <c r="S35" i="61"/>
  <c r="V35" i="61" s="1"/>
  <c r="S43" i="61"/>
  <c r="V43" i="61" s="1"/>
  <c r="S20" i="61"/>
  <c r="V20" i="61" s="1"/>
  <c r="S36" i="61"/>
  <c r="V36" i="61" s="1"/>
  <c r="S9" i="61"/>
  <c r="V9" i="61" s="1"/>
  <c r="S21" i="61"/>
  <c r="V21" i="61" s="1"/>
  <c r="S41" i="61"/>
  <c r="V41" i="61" s="1"/>
  <c r="S17" i="61"/>
  <c r="V17" i="61" s="1"/>
  <c r="S14" i="61"/>
  <c r="V14" i="61" s="1"/>
  <c r="S30" i="61"/>
  <c r="V30" i="61" s="1"/>
  <c r="S12" i="61"/>
  <c r="V12" i="61" s="1"/>
  <c r="S13" i="61"/>
  <c r="V13" i="61" s="1"/>
  <c r="S45" i="61"/>
  <c r="V45" i="61" s="1"/>
  <c r="S23" i="61"/>
  <c r="V23" i="61" s="1"/>
  <c r="S39" i="61"/>
  <c r="V39" i="61" s="1"/>
  <c r="S28" i="61"/>
  <c r="V28" i="61" s="1"/>
  <c r="S33" i="61"/>
  <c r="V33" i="61" s="1"/>
  <c r="S38" i="61"/>
  <c r="V38" i="61" s="1"/>
  <c r="S29" i="61"/>
  <c r="V29" i="61" s="1"/>
  <c r="S31" i="61"/>
  <c r="V31" i="61" s="1"/>
  <c r="S44" i="61"/>
  <c r="V44" i="61" s="1"/>
  <c r="S15" i="61"/>
  <c r="V15" i="61" s="1"/>
  <c r="S16" i="61"/>
  <c r="V16" i="61" s="1"/>
  <c r="S22" i="61"/>
  <c r="V22" i="61" s="1"/>
  <c r="S32" i="61"/>
  <c r="V32" i="61" s="1"/>
  <c r="D24" i="2"/>
  <c r="D10" i="59"/>
  <c r="C23" i="2"/>
  <c r="D103" i="2"/>
  <c r="D89" i="59"/>
  <c r="I33" i="57"/>
  <c r="J14" i="61"/>
  <c r="P26" i="65"/>
  <c r="P25" i="65"/>
  <c r="W60" i="60"/>
  <c r="O23" i="26"/>
  <c r="J10" i="61" l="1"/>
  <c r="AB59" i="73" s="1"/>
  <c r="D58" i="61"/>
  <c r="D41" i="2"/>
  <c r="D27" i="59"/>
  <c r="AC8" i="2"/>
  <c r="N18" i="3"/>
  <c r="O17" i="3"/>
  <c r="D19" i="26"/>
  <c r="D47" i="26" s="1"/>
  <c r="D142" i="59"/>
  <c r="D156" i="2"/>
  <c r="D54" i="2"/>
  <c r="D40" i="59"/>
  <c r="F62" i="61"/>
  <c r="X62" i="61"/>
  <c r="W63" i="61"/>
  <c r="D57" i="59"/>
  <c r="U57" i="60"/>
  <c r="D91" i="2"/>
  <c r="D77" i="59"/>
  <c r="G67" i="57"/>
  <c r="D25" i="2"/>
  <c r="D11" i="59"/>
  <c r="C24" i="2"/>
  <c r="J23" i="26"/>
  <c r="J24" i="26" s="1"/>
  <c r="J25" i="26" s="1"/>
  <c r="J26" i="26" s="1"/>
  <c r="J27" i="26" s="1"/>
  <c r="J28" i="26" s="1"/>
  <c r="J29" i="26" s="1"/>
  <c r="U63" i="60"/>
  <c r="V63" i="60" s="1"/>
  <c r="W63" i="60" s="1"/>
  <c r="G60" i="61"/>
  <c r="D155" i="59"/>
  <c r="D169" i="2"/>
  <c r="U64" i="60"/>
  <c r="V64" i="60" s="1"/>
  <c r="W64" i="60" s="1"/>
  <c r="G61" i="61"/>
  <c r="I26" i="26"/>
  <c r="I27" i="26" s="1"/>
  <c r="I28" i="26" s="1"/>
  <c r="I29" i="26" s="1"/>
  <c r="D145" i="2"/>
  <c r="D131" i="59"/>
  <c r="D115" i="59"/>
  <c r="D129" i="2"/>
  <c r="W52" i="61"/>
  <c r="F53" i="61"/>
  <c r="G54" i="61" s="1"/>
  <c r="D80" i="2"/>
  <c r="D66" i="59"/>
  <c r="T20" i="3"/>
  <c r="U19" i="3"/>
  <c r="E8" i="12"/>
  <c r="C46" i="26"/>
  <c r="D104" i="2"/>
  <c r="D90" i="59"/>
  <c r="D118" i="2"/>
  <c r="D104" i="59"/>
  <c r="F10" i="65"/>
  <c r="K20" i="24"/>
  <c r="L19" i="24"/>
  <c r="E22" i="26"/>
  <c r="E50" i="26" s="1"/>
  <c r="D170" i="59"/>
  <c r="D184" i="2"/>
  <c r="C19" i="26"/>
  <c r="K20" i="26"/>
  <c r="AB60" i="73" l="1"/>
  <c r="Y19" i="73"/>
  <c r="Z19" i="73" s="1"/>
  <c r="Y47" i="73"/>
  <c r="Z47" i="73" s="1"/>
  <c r="Y32" i="73"/>
  <c r="Y44" i="73"/>
  <c r="Z44" i="73" s="1"/>
  <c r="Y35" i="73"/>
  <c r="Z35" i="73" s="1"/>
  <c r="Y34" i="73"/>
  <c r="Z34" i="73" s="1"/>
  <c r="Y11" i="73"/>
  <c r="Y15" i="73"/>
  <c r="Z15" i="73" s="1"/>
  <c r="Y56" i="73"/>
  <c r="Z56" i="73" s="1"/>
  <c r="Y27" i="73"/>
  <c r="Z27" i="73" s="1"/>
  <c r="Y54" i="73"/>
  <c r="Z54" i="73" s="1"/>
  <c r="Y41" i="73"/>
  <c r="Z41" i="73" s="1"/>
  <c r="AD60" i="73"/>
  <c r="Y55" i="73"/>
  <c r="Z55" i="73" s="1"/>
  <c r="Y24" i="73"/>
  <c r="Z24" i="73" s="1"/>
  <c r="Y14" i="73"/>
  <c r="Z14" i="73" s="1"/>
  <c r="Y59" i="73"/>
  <c r="Z59" i="73" s="1"/>
  <c r="Y18" i="73"/>
  <c r="Z18" i="73" s="1"/>
  <c r="Y57" i="73"/>
  <c r="Z57" i="73" s="1"/>
  <c r="Y53" i="73"/>
  <c r="Z53" i="73" s="1"/>
  <c r="Y28" i="73"/>
  <c r="Y21" i="73"/>
  <c r="Z21" i="73" s="1"/>
  <c r="Y42" i="73"/>
  <c r="Z42" i="73" s="1"/>
  <c r="Y49" i="73"/>
  <c r="Z49" i="73" s="1"/>
  <c r="Y25" i="73"/>
  <c r="Z25" i="73" s="1"/>
  <c r="Y16" i="73"/>
  <c r="Z16" i="73" s="1"/>
  <c r="Y45" i="73"/>
  <c r="Z45" i="73" s="1"/>
  <c r="Y20" i="73"/>
  <c r="Z20" i="73" s="1"/>
  <c r="Y13" i="73"/>
  <c r="Z13" i="73" s="1"/>
  <c r="Y36" i="73"/>
  <c r="Z36" i="73" s="1"/>
  <c r="Y40" i="73"/>
  <c r="Z40" i="73" s="1"/>
  <c r="Y33" i="73"/>
  <c r="Z33" i="73" s="1"/>
  <c r="Y37" i="73"/>
  <c r="Z37" i="73" s="1"/>
  <c r="Y12" i="73"/>
  <c r="Z12" i="73" s="1"/>
  <c r="Y23" i="73"/>
  <c r="Z23" i="73" s="1"/>
  <c r="Y58" i="73"/>
  <c r="Z58" i="73" s="1"/>
  <c r="Y38" i="73"/>
  <c r="Z38" i="73" s="1"/>
  <c r="Y26" i="73"/>
  <c r="Z26" i="73" s="1"/>
  <c r="Y51" i="73"/>
  <c r="Z51" i="73" s="1"/>
  <c r="Y29" i="73"/>
  <c r="Y39" i="73"/>
  <c r="Z39" i="73" s="1"/>
  <c r="Y52" i="73"/>
  <c r="Z52" i="73" s="1"/>
  <c r="Y50" i="73"/>
  <c r="Z50" i="73" s="1"/>
  <c r="Y30" i="73"/>
  <c r="Y43" i="73"/>
  <c r="Z43" i="73" s="1"/>
  <c r="Y31" i="73"/>
  <c r="Y22" i="73"/>
  <c r="Z22" i="73" s="1"/>
  <c r="Y48" i="73"/>
  <c r="Z48" i="73" s="1"/>
  <c r="Y46" i="73"/>
  <c r="Z46" i="73" s="1"/>
  <c r="Y17" i="73"/>
  <c r="Z17" i="73" s="1"/>
  <c r="U20" i="3"/>
  <c r="T21" i="3"/>
  <c r="F52" i="61"/>
  <c r="W51" i="61"/>
  <c r="X52" i="61" s="1"/>
  <c r="D132" i="59"/>
  <c r="D146" i="2"/>
  <c r="U65" i="60"/>
  <c r="V65" i="60" s="1"/>
  <c r="W65" i="60" s="1"/>
  <c r="G62" i="61"/>
  <c r="D157" i="2"/>
  <c r="D143" i="59"/>
  <c r="L20" i="24"/>
  <c r="E23" i="26"/>
  <c r="E51" i="26" s="1"/>
  <c r="K21" i="24"/>
  <c r="G10" i="65"/>
  <c r="J10" i="65" s="1"/>
  <c r="T90" i="60"/>
  <c r="D67" i="59"/>
  <c r="D81" i="2"/>
  <c r="D130" i="2"/>
  <c r="D116" i="59"/>
  <c r="AC9" i="2"/>
  <c r="N19" i="3"/>
  <c r="O18" i="3"/>
  <c r="D20" i="26"/>
  <c r="D48" i="26" s="1"/>
  <c r="D28" i="59"/>
  <c r="D42" i="2"/>
  <c r="D119" i="2"/>
  <c r="D105" i="59"/>
  <c r="K21" i="26"/>
  <c r="C20" i="26"/>
  <c r="X53" i="61"/>
  <c r="D12" i="59"/>
  <c r="D26" i="2"/>
  <c r="C25" i="2"/>
  <c r="D92" i="2"/>
  <c r="D78" i="59"/>
  <c r="F63" i="61"/>
  <c r="X63" i="61"/>
  <c r="W64" i="61"/>
  <c r="G110" i="60"/>
  <c r="G111" i="60" s="1"/>
  <c r="F11" i="65"/>
  <c r="D91" i="59"/>
  <c r="D105" i="2"/>
  <c r="D170" i="2"/>
  <c r="D156" i="59"/>
  <c r="C47" i="26"/>
  <c r="E9" i="12"/>
  <c r="D171" i="59"/>
  <c r="D185" i="2"/>
  <c r="U56" i="60"/>
  <c r="G53" i="61"/>
  <c r="D41" i="59"/>
  <c r="D55" i="2"/>
  <c r="AF130" i="73" l="1"/>
  <c r="AB127" i="73"/>
  <c r="Z11" i="73"/>
  <c r="Z28" i="73"/>
  <c r="AB121" i="73"/>
  <c r="AB114" i="73"/>
  <c r="AB117" i="73"/>
  <c r="AB124" i="73"/>
  <c r="AG124" i="73" s="1"/>
  <c r="Z31" i="73"/>
  <c r="AE124" i="73" s="1"/>
  <c r="Z30" i="73"/>
  <c r="AB123" i="73"/>
  <c r="AG123" i="73" s="1"/>
  <c r="AB116" i="73"/>
  <c r="Z32" i="73"/>
  <c r="AB118" i="73"/>
  <c r="AB115" i="73"/>
  <c r="AB122" i="73"/>
  <c r="AG122" i="73" s="1"/>
  <c r="AB130" i="73"/>
  <c r="AG130" i="73" s="1"/>
  <c r="Z29" i="73"/>
  <c r="AF121" i="73"/>
  <c r="AB61" i="73"/>
  <c r="AD61" i="73"/>
  <c r="G63" i="61"/>
  <c r="U66" i="60"/>
  <c r="V66" i="60" s="1"/>
  <c r="W66" i="60" s="1"/>
  <c r="C26" i="2"/>
  <c r="D27" i="2"/>
  <c r="D13" i="59"/>
  <c r="R10" i="65"/>
  <c r="K10" i="65"/>
  <c r="D186" i="2"/>
  <c r="D172" i="59"/>
  <c r="T91" i="60"/>
  <c r="G11" i="65"/>
  <c r="J11" i="65" s="1"/>
  <c r="D93" i="2"/>
  <c r="D79" i="59"/>
  <c r="D120" i="2"/>
  <c r="D106" i="59"/>
  <c r="F12" i="65"/>
  <c r="D68" i="59"/>
  <c r="D82" i="2"/>
  <c r="U21" i="3"/>
  <c r="T22" i="3"/>
  <c r="D56" i="2"/>
  <c r="D42" i="59"/>
  <c r="D157" i="59"/>
  <c r="D171" i="2"/>
  <c r="K22" i="26"/>
  <c r="C21" i="26"/>
  <c r="L21" i="24"/>
  <c r="K22" i="24"/>
  <c r="E24" i="26"/>
  <c r="E52" i="26" s="1"/>
  <c r="F51" i="61"/>
  <c r="G52" i="61" s="1"/>
  <c r="W50" i="61"/>
  <c r="X51" i="61" s="1"/>
  <c r="C48" i="26"/>
  <c r="E10" i="12"/>
  <c r="D144" i="59"/>
  <c r="D158" i="2"/>
  <c r="D106" i="2"/>
  <c r="D92" i="59"/>
  <c r="F64" i="61"/>
  <c r="W65" i="61"/>
  <c r="X64" i="61"/>
  <c r="D43" i="2"/>
  <c r="D29" i="59"/>
  <c r="AC10" i="2"/>
  <c r="N20" i="3"/>
  <c r="D21" i="26"/>
  <c r="D49" i="26" s="1"/>
  <c r="O19" i="3"/>
  <c r="D131" i="2"/>
  <c r="D117" i="59"/>
  <c r="D147" i="2"/>
  <c r="D133" i="59"/>
  <c r="U55" i="60"/>
  <c r="AG121" i="73" l="1"/>
  <c r="AB62" i="73"/>
  <c r="AD62" i="73"/>
  <c r="AE121" i="73"/>
  <c r="AE122" i="73"/>
  <c r="AE130" i="73"/>
  <c r="AE123" i="73"/>
  <c r="D107" i="2"/>
  <c r="D93" i="59"/>
  <c r="D145" i="59"/>
  <c r="D159" i="2"/>
  <c r="C49" i="26"/>
  <c r="E11" i="12"/>
  <c r="D43" i="59"/>
  <c r="D57" i="2"/>
  <c r="D83" i="2"/>
  <c r="D69" i="59"/>
  <c r="D80" i="59"/>
  <c r="D94" i="2"/>
  <c r="C27" i="2"/>
  <c r="D28" i="2"/>
  <c r="D14" i="59"/>
  <c r="D132" i="2"/>
  <c r="D118" i="59"/>
  <c r="F13" i="65"/>
  <c r="F65" i="61"/>
  <c r="X65" i="61"/>
  <c r="W66" i="61"/>
  <c r="G64" i="61"/>
  <c r="U67" i="60"/>
  <c r="V67" i="60" s="1"/>
  <c r="W67" i="60" s="1"/>
  <c r="U54" i="60"/>
  <c r="L22" i="24"/>
  <c r="K23" i="24"/>
  <c r="E25" i="26"/>
  <c r="E53" i="26" s="1"/>
  <c r="C22" i="26"/>
  <c r="K23" i="26"/>
  <c r="D121" i="2"/>
  <c r="D107" i="59"/>
  <c r="R11" i="65"/>
  <c r="K11" i="65"/>
  <c r="D30" i="59"/>
  <c r="D44" i="2"/>
  <c r="T92" i="60"/>
  <c r="G12" i="65"/>
  <c r="J12" i="65" s="1"/>
  <c r="D187" i="2"/>
  <c r="D173" i="59"/>
  <c r="D148" i="2"/>
  <c r="D134" i="59"/>
  <c r="N21" i="3"/>
  <c r="AC11" i="2"/>
  <c r="D22" i="26"/>
  <c r="D50" i="26" s="1"/>
  <c r="O20" i="3"/>
  <c r="F50" i="61"/>
  <c r="G51" i="61" s="1"/>
  <c r="W49" i="61"/>
  <c r="D158" i="59"/>
  <c r="D172" i="2"/>
  <c r="U22" i="3"/>
  <c r="T23" i="3"/>
  <c r="AB63" i="73" l="1"/>
  <c r="AD63" i="73"/>
  <c r="U23" i="3"/>
  <c r="T24" i="3"/>
  <c r="F49" i="61"/>
  <c r="W48" i="61"/>
  <c r="F14" i="65"/>
  <c r="D135" i="59"/>
  <c r="C23" i="26"/>
  <c r="K24" i="26"/>
  <c r="F66" i="61"/>
  <c r="X66" i="61"/>
  <c r="W67" i="61"/>
  <c r="D95" i="2"/>
  <c r="D81" i="59"/>
  <c r="D146" i="59"/>
  <c r="D160" i="2"/>
  <c r="D108" i="2"/>
  <c r="D94" i="59"/>
  <c r="N22" i="3"/>
  <c r="AC12" i="2"/>
  <c r="O21" i="3"/>
  <c r="D23" i="26"/>
  <c r="D51" i="26" s="1"/>
  <c r="E12" i="12"/>
  <c r="C50" i="26"/>
  <c r="D159" i="59"/>
  <c r="D173" i="2"/>
  <c r="R12" i="65"/>
  <c r="K12" i="65"/>
  <c r="D31" i="59"/>
  <c r="U68" i="60"/>
  <c r="V68" i="60" s="1"/>
  <c r="W68" i="60" s="1"/>
  <c r="G65" i="61"/>
  <c r="D133" i="2"/>
  <c r="D119" i="59"/>
  <c r="D44" i="59"/>
  <c r="G50" i="61"/>
  <c r="U53" i="60"/>
  <c r="D174" i="59"/>
  <c r="X50" i="61"/>
  <c r="D122" i="2"/>
  <c r="D108" i="59"/>
  <c r="E26" i="26"/>
  <c r="E54" i="26" s="1"/>
  <c r="K24" i="24"/>
  <c r="L23" i="24"/>
  <c r="G13" i="65"/>
  <c r="J13" i="65" s="1"/>
  <c r="T93" i="60"/>
  <c r="C28" i="2"/>
  <c r="D29" i="2"/>
  <c r="D15" i="59"/>
  <c r="D70" i="59"/>
  <c r="AB64" i="73" l="1"/>
  <c r="AD64" i="73"/>
  <c r="R13" i="65"/>
  <c r="K13" i="65"/>
  <c r="D174" i="2"/>
  <c r="D160" i="59"/>
  <c r="U69" i="60"/>
  <c r="V69" i="60" s="1"/>
  <c r="W69" i="60" s="1"/>
  <c r="G66" i="61"/>
  <c r="C51" i="26"/>
  <c r="E13" i="12"/>
  <c r="U24" i="3"/>
  <c r="T25" i="3"/>
  <c r="C29" i="2"/>
  <c r="D30" i="2"/>
  <c r="D16" i="59"/>
  <c r="F15" i="65"/>
  <c r="D95" i="59"/>
  <c r="D109" i="2"/>
  <c r="F48" i="61"/>
  <c r="G49" i="61" s="1"/>
  <c r="W47" i="61"/>
  <c r="X48" i="61" s="1"/>
  <c r="L24" i="24"/>
  <c r="K25" i="24"/>
  <c r="E27" i="26"/>
  <c r="E55" i="26" s="1"/>
  <c r="D109" i="59"/>
  <c r="D134" i="2"/>
  <c r="D120" i="59"/>
  <c r="N23" i="3"/>
  <c r="AC13" i="2"/>
  <c r="O22" i="3"/>
  <c r="D24" i="26"/>
  <c r="D52" i="26" s="1"/>
  <c r="D147" i="59"/>
  <c r="D161" i="2"/>
  <c r="D96" i="2"/>
  <c r="D82" i="59"/>
  <c r="F67" i="61"/>
  <c r="X67" i="61"/>
  <c r="W68" i="61"/>
  <c r="G14" i="65"/>
  <c r="J14" i="65" s="1"/>
  <c r="T94" i="60"/>
  <c r="X49" i="61"/>
  <c r="K25" i="26"/>
  <c r="C24" i="26"/>
  <c r="U52" i="60"/>
  <c r="AB65" i="73" l="1"/>
  <c r="AD65" i="73"/>
  <c r="R14" i="65"/>
  <c r="K14" i="65"/>
  <c r="C52" i="26"/>
  <c r="E14" i="12"/>
  <c r="W69" i="61"/>
  <c r="F68" i="61"/>
  <c r="X68" i="61"/>
  <c r="E28" i="26"/>
  <c r="E56" i="26" s="1"/>
  <c r="K26" i="24"/>
  <c r="L25" i="24"/>
  <c r="D96" i="59"/>
  <c r="C30" i="2"/>
  <c r="D31" i="2"/>
  <c r="D17" i="59"/>
  <c r="C13" i="12"/>
  <c r="U70" i="60"/>
  <c r="V70" i="60" s="1"/>
  <c r="W70" i="60" s="1"/>
  <c r="G67" i="61"/>
  <c r="F16" i="65"/>
  <c r="D121" i="59"/>
  <c r="D135" i="2"/>
  <c r="G14" i="12" s="1"/>
  <c r="F47" i="61"/>
  <c r="W46" i="61"/>
  <c r="X47" i="61" s="1"/>
  <c r="G15" i="65"/>
  <c r="J15" i="65" s="1"/>
  <c r="T95" i="60"/>
  <c r="C25" i="26"/>
  <c r="K26" i="26"/>
  <c r="D83" i="59"/>
  <c r="D148" i="59"/>
  <c r="N24" i="3"/>
  <c r="AC14" i="2"/>
  <c r="O23" i="3"/>
  <c r="D25" i="26"/>
  <c r="D53" i="26" s="1"/>
  <c r="U51" i="60"/>
  <c r="G48" i="61"/>
  <c r="T26" i="3"/>
  <c r="U25" i="3"/>
  <c r="D161" i="59"/>
  <c r="F17" i="12"/>
  <c r="F18" i="12"/>
  <c r="G16" i="12"/>
  <c r="D8" i="12"/>
  <c r="D16" i="12"/>
  <c r="AB66" i="73" l="1"/>
  <c r="AD66" i="73"/>
  <c r="T96" i="60"/>
  <c r="G16" i="65"/>
  <c r="J16" i="65" s="1"/>
  <c r="D7" i="12"/>
  <c r="D26" i="12" s="1"/>
  <c r="G8" i="12"/>
  <c r="C14" i="12"/>
  <c r="F15" i="12"/>
  <c r="U26" i="3"/>
  <c r="T27" i="3"/>
  <c r="U27" i="3" s="1"/>
  <c r="U28" i="3" s="1"/>
  <c r="N25" i="3"/>
  <c r="AC15" i="2"/>
  <c r="O24" i="3"/>
  <c r="D26" i="26"/>
  <c r="D54" i="26" s="1"/>
  <c r="K27" i="26"/>
  <c r="C26" i="26"/>
  <c r="U50" i="60"/>
  <c r="C7" i="12"/>
  <c r="C26" i="12" s="1"/>
  <c r="D9" i="12"/>
  <c r="D28" i="12" s="1"/>
  <c r="F7" i="12"/>
  <c r="E26" i="12" s="1"/>
  <c r="G10" i="12"/>
  <c r="C19" i="12"/>
  <c r="C38" i="12" s="1"/>
  <c r="C15" i="12"/>
  <c r="C34" i="12" s="1"/>
  <c r="D13" i="12"/>
  <c r="D32" i="12" s="1"/>
  <c r="G13" i="12"/>
  <c r="E37" i="12"/>
  <c r="E15" i="12"/>
  <c r="C53" i="26"/>
  <c r="G18" i="12"/>
  <c r="C16" i="12"/>
  <c r="D11" i="12"/>
  <c r="D30" i="12" s="1"/>
  <c r="F8" i="12"/>
  <c r="E27" i="12" s="1"/>
  <c r="K27" i="12" s="1"/>
  <c r="D17" i="12"/>
  <c r="U71" i="60"/>
  <c r="V71" i="60" s="1"/>
  <c r="W71" i="60" s="1"/>
  <c r="G68" i="61"/>
  <c r="H16" i="12"/>
  <c r="I16" i="12" s="1"/>
  <c r="J16" i="12" s="1"/>
  <c r="D122" i="59"/>
  <c r="G17" i="12"/>
  <c r="D19" i="12"/>
  <c r="F11" i="12"/>
  <c r="E30" i="12" s="1"/>
  <c r="G12" i="12"/>
  <c r="D15" i="12"/>
  <c r="D34" i="12" s="1"/>
  <c r="F9" i="12"/>
  <c r="E28" i="12" s="1"/>
  <c r="K28" i="12" s="1"/>
  <c r="D12" i="41" s="1"/>
  <c r="F46" i="61"/>
  <c r="G47" i="61" s="1"/>
  <c r="W45" i="61"/>
  <c r="F16" i="12"/>
  <c r="E35" i="12" s="1"/>
  <c r="F10" i="12"/>
  <c r="E29" i="12" s="1"/>
  <c r="D12" i="12"/>
  <c r="D31" i="12" s="1"/>
  <c r="J31" i="12" s="1"/>
  <c r="E15" i="41" s="1"/>
  <c r="G7" i="12"/>
  <c r="F12" i="12"/>
  <c r="E31" i="12" s="1"/>
  <c r="K31" i="12" s="1"/>
  <c r="D15" i="41" s="1"/>
  <c r="G15" i="12"/>
  <c r="G19" i="12"/>
  <c r="C31" i="2"/>
  <c r="C32" i="2"/>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D18" i="59"/>
  <c r="C12" i="12"/>
  <c r="C31" i="12" s="1"/>
  <c r="C8" i="12"/>
  <c r="C27" i="12" s="1"/>
  <c r="I27" i="12" s="1"/>
  <c r="E29" i="26"/>
  <c r="E57" i="26" s="1"/>
  <c r="E58" i="26" s="1"/>
  <c r="E30" i="26" s="1"/>
  <c r="L26" i="24"/>
  <c r="L27" i="24" s="1"/>
  <c r="F69" i="61"/>
  <c r="W70" i="61"/>
  <c r="X69" i="61"/>
  <c r="D27" i="12"/>
  <c r="J27" i="12" s="1"/>
  <c r="C32" i="12"/>
  <c r="I32" i="12" s="1"/>
  <c r="F16" i="41" s="1"/>
  <c r="D14" i="12"/>
  <c r="D33" i="12" s="1"/>
  <c r="J33" i="12" s="1"/>
  <c r="E17" i="41" s="1"/>
  <c r="C11" i="12"/>
  <c r="C18" i="12"/>
  <c r="C37" i="12" s="1"/>
  <c r="D18" i="12"/>
  <c r="D10" i="12"/>
  <c r="D29" i="12" s="1"/>
  <c r="J29" i="12" s="1"/>
  <c r="E13" i="41" s="1"/>
  <c r="F17" i="65"/>
  <c r="R15" i="65"/>
  <c r="K15" i="65"/>
  <c r="F14" i="12"/>
  <c r="E33" i="12" s="1"/>
  <c r="G9" i="12"/>
  <c r="F13" i="12"/>
  <c r="E32" i="12" s="1"/>
  <c r="K32" i="12" s="1"/>
  <c r="D16" i="41" s="1"/>
  <c r="C17" i="12"/>
  <c r="C36" i="12" s="1"/>
  <c r="F19" i="12"/>
  <c r="E38" i="12" s="1"/>
  <c r="K38" i="12" s="1"/>
  <c r="D22" i="41" s="1"/>
  <c r="G11" i="12"/>
  <c r="C10" i="12"/>
  <c r="C29" i="12" s="1"/>
  <c r="C9" i="12"/>
  <c r="C28" i="12" s="1"/>
  <c r="I28" i="12" s="1"/>
  <c r="F12" i="41" s="1"/>
  <c r="AB67" i="73" l="1"/>
  <c r="AD67" i="73"/>
  <c r="I29" i="12"/>
  <c r="F13" i="41" s="1"/>
  <c r="C30" i="12"/>
  <c r="C35" i="12"/>
  <c r="G15" i="41"/>
  <c r="H12" i="41"/>
  <c r="E54" i="12"/>
  <c r="H18" i="12"/>
  <c r="I18" i="12" s="1"/>
  <c r="J18" i="12" s="1"/>
  <c r="E56" i="12"/>
  <c r="J28" i="12"/>
  <c r="E12" i="41" s="1"/>
  <c r="G12" i="41" s="1"/>
  <c r="H14" i="12"/>
  <c r="I14" i="12" s="1"/>
  <c r="H11" i="12"/>
  <c r="I11" i="12" s="1"/>
  <c r="J11" i="12" s="1"/>
  <c r="D49" i="12" s="1"/>
  <c r="E49" i="12"/>
  <c r="E47" i="12"/>
  <c r="H9" i="12"/>
  <c r="I9" i="12" s="1"/>
  <c r="J9" i="12" s="1"/>
  <c r="D47" i="12" s="1"/>
  <c r="I37" i="12"/>
  <c r="F21" i="41" s="1"/>
  <c r="E11" i="41"/>
  <c r="X70" i="61"/>
  <c r="F70" i="61"/>
  <c r="W71" i="61"/>
  <c r="F11" i="41"/>
  <c r="H7" i="12"/>
  <c r="I7" i="12" s="1"/>
  <c r="J7" i="12" s="1"/>
  <c r="D45" i="12" s="1"/>
  <c r="E45" i="12"/>
  <c r="D65" i="12" s="1"/>
  <c r="W44" i="61"/>
  <c r="X45" i="61" s="1"/>
  <c r="F45" i="61"/>
  <c r="J34" i="12"/>
  <c r="E18" i="41" s="1"/>
  <c r="H17" i="12"/>
  <c r="I17" i="12" s="1"/>
  <c r="J17" i="12" s="1"/>
  <c r="C55" i="12"/>
  <c r="D11" i="41"/>
  <c r="I38" i="12"/>
  <c r="F22" i="41" s="1"/>
  <c r="E34" i="12"/>
  <c r="K34" i="12" s="1"/>
  <c r="D18" i="41" s="1"/>
  <c r="R16" i="65"/>
  <c r="K16" i="65"/>
  <c r="E36" i="12"/>
  <c r="K36" i="12" s="1"/>
  <c r="D20" i="41" s="1"/>
  <c r="H16" i="41"/>
  <c r="H22" i="41"/>
  <c r="K33" i="12"/>
  <c r="D17" i="41" s="1"/>
  <c r="I30" i="12"/>
  <c r="F14" i="41" s="1"/>
  <c r="U72" i="60"/>
  <c r="V72" i="60" s="1"/>
  <c r="W72" i="60" s="1"/>
  <c r="G69" i="61"/>
  <c r="I31" i="12"/>
  <c r="F15" i="41" s="1"/>
  <c r="H15" i="41" s="1"/>
  <c r="C57" i="12"/>
  <c r="E57" i="12"/>
  <c r="H19" i="12"/>
  <c r="I19" i="12" s="1"/>
  <c r="J19" i="12" s="1"/>
  <c r="U49" i="60"/>
  <c r="G46" i="61"/>
  <c r="H12" i="12"/>
  <c r="I12" i="12" s="1"/>
  <c r="J12" i="12" s="1"/>
  <c r="D50" i="12" s="1"/>
  <c r="E50" i="12"/>
  <c r="J30" i="12"/>
  <c r="E14" i="41" s="1"/>
  <c r="E51" i="12"/>
  <c r="H13" i="12"/>
  <c r="I13" i="12" s="1"/>
  <c r="J13" i="12" s="1"/>
  <c r="D51" i="12" s="1"/>
  <c r="J51" i="12" s="1"/>
  <c r="H10" i="12"/>
  <c r="I10" i="12" s="1"/>
  <c r="J10" i="12" s="1"/>
  <c r="D48" i="12" s="1"/>
  <c r="E48" i="12"/>
  <c r="C54" i="26"/>
  <c r="E16" i="12"/>
  <c r="F18" i="65"/>
  <c r="C33" i="12"/>
  <c r="I33" i="12" s="1"/>
  <c r="F17" i="41" s="1"/>
  <c r="G17" i="65"/>
  <c r="J17" i="65" s="1"/>
  <c r="T97" i="60"/>
  <c r="C53" i="12"/>
  <c r="E53" i="12"/>
  <c r="D53" i="12"/>
  <c r="H15" i="12"/>
  <c r="I15" i="12" s="1"/>
  <c r="J15" i="12" s="1"/>
  <c r="K29" i="12"/>
  <c r="D13" i="41" s="1"/>
  <c r="X46" i="61"/>
  <c r="K30" i="12"/>
  <c r="D14" i="41" s="1"/>
  <c r="J32" i="12"/>
  <c r="E16" i="41" s="1"/>
  <c r="G16" i="41" s="1"/>
  <c r="C27" i="26"/>
  <c r="K28" i="26"/>
  <c r="N26" i="3"/>
  <c r="AC16" i="2"/>
  <c r="O25" i="3"/>
  <c r="D27" i="26"/>
  <c r="D55" i="26" s="1"/>
  <c r="E46" i="12"/>
  <c r="H8" i="12"/>
  <c r="I8" i="12" s="1"/>
  <c r="J8" i="12" s="1"/>
  <c r="D46" i="12" s="1"/>
  <c r="J46" i="12" s="1"/>
  <c r="C46" i="12"/>
  <c r="E52" i="12"/>
  <c r="AB68" i="73" l="1"/>
  <c r="AD68" i="73"/>
  <c r="J48" i="12"/>
  <c r="J50" i="12"/>
  <c r="C45" i="12"/>
  <c r="C47" i="12"/>
  <c r="I47" i="12" s="1"/>
  <c r="C49" i="12"/>
  <c r="I35" i="12"/>
  <c r="F19" i="41" s="1"/>
  <c r="C54" i="12"/>
  <c r="I54" i="12"/>
  <c r="I36" i="12"/>
  <c r="F20" i="41" s="1"/>
  <c r="J47" i="12"/>
  <c r="E65" i="12"/>
  <c r="E83" i="12" s="1"/>
  <c r="C66" i="12"/>
  <c r="I46" i="12"/>
  <c r="F19" i="65"/>
  <c r="G14" i="41"/>
  <c r="H14" i="41"/>
  <c r="N27" i="3"/>
  <c r="AC17" i="2"/>
  <c r="D28" i="26"/>
  <c r="D56" i="26" s="1"/>
  <c r="O26" i="3"/>
  <c r="K50" i="12"/>
  <c r="F69" i="12"/>
  <c r="D70" i="12"/>
  <c r="G17" i="41"/>
  <c r="H17" i="41"/>
  <c r="G18" i="41"/>
  <c r="C65" i="12"/>
  <c r="E66" i="12"/>
  <c r="J49" i="12"/>
  <c r="J14" i="12"/>
  <c r="D52" i="12" s="1"/>
  <c r="J52" i="12" s="1"/>
  <c r="C52" i="12"/>
  <c r="I53" i="12" s="1"/>
  <c r="K29" i="26"/>
  <c r="C29" i="26" s="1"/>
  <c r="C28" i="26"/>
  <c r="R17" i="65"/>
  <c r="K17" i="65"/>
  <c r="C48" i="12"/>
  <c r="I49" i="12" s="1"/>
  <c r="H20" i="41"/>
  <c r="U48" i="60"/>
  <c r="X71" i="61"/>
  <c r="F71" i="61"/>
  <c r="W72" i="61"/>
  <c r="E68" i="12"/>
  <c r="C69" i="12"/>
  <c r="G13" i="41"/>
  <c r="H13" i="41"/>
  <c r="F71" i="12"/>
  <c r="K52" i="12"/>
  <c r="D72" i="12"/>
  <c r="H72" i="12" s="1"/>
  <c r="F65" i="12"/>
  <c r="F83" i="12" s="1"/>
  <c r="D66" i="12"/>
  <c r="K46" i="12"/>
  <c r="C55" i="26"/>
  <c r="E17" i="12"/>
  <c r="K53" i="12"/>
  <c r="D73" i="12"/>
  <c r="F72" i="12"/>
  <c r="G18" i="65"/>
  <c r="J18" i="65" s="1"/>
  <c r="T98" i="60"/>
  <c r="F70" i="12"/>
  <c r="D71" i="12"/>
  <c r="H71" i="12" s="1"/>
  <c r="K51" i="12"/>
  <c r="F76" i="12"/>
  <c r="K57" i="12"/>
  <c r="K37" i="12"/>
  <c r="D21" i="41" s="1"/>
  <c r="H11" i="41"/>
  <c r="G11" i="41"/>
  <c r="E55" i="12"/>
  <c r="K56" i="12" s="1"/>
  <c r="W43" i="61"/>
  <c r="F44" i="61"/>
  <c r="G45" i="61" s="1"/>
  <c r="U73" i="60"/>
  <c r="V73" i="60" s="1"/>
  <c r="W73" i="60" s="1"/>
  <c r="G70" i="61"/>
  <c r="D69" i="12"/>
  <c r="H69" i="12" s="1"/>
  <c r="F68" i="12"/>
  <c r="K49" i="12"/>
  <c r="I34" i="12"/>
  <c r="F18" i="41" s="1"/>
  <c r="H18" i="41" s="1"/>
  <c r="D76" i="12"/>
  <c r="H76" i="12" s="1"/>
  <c r="F75" i="12"/>
  <c r="D74" i="12"/>
  <c r="K54" i="12"/>
  <c r="F73" i="12"/>
  <c r="K35" i="12"/>
  <c r="D19" i="41" s="1"/>
  <c r="E72" i="12"/>
  <c r="D35" i="12"/>
  <c r="K48" i="12"/>
  <c r="F67" i="12"/>
  <c r="D68" i="12"/>
  <c r="H68" i="12" s="1"/>
  <c r="C51" i="12"/>
  <c r="C50" i="12"/>
  <c r="I55" i="12"/>
  <c r="H65" i="12"/>
  <c r="H83" i="12" s="1"/>
  <c r="D83" i="12"/>
  <c r="D67" i="12"/>
  <c r="K47" i="12"/>
  <c r="F66" i="12"/>
  <c r="C56" i="12"/>
  <c r="AB69" i="73" l="1"/>
  <c r="AD69" i="73"/>
  <c r="C67" i="12"/>
  <c r="F25" i="41"/>
  <c r="D100" i="12"/>
  <c r="D84" i="12"/>
  <c r="H19" i="41"/>
  <c r="W42" i="61"/>
  <c r="F43" i="61"/>
  <c r="U74" i="60"/>
  <c r="V74" i="60" s="1"/>
  <c r="W74" i="60" s="1"/>
  <c r="G71" i="61"/>
  <c r="K39" i="12"/>
  <c r="I52" i="12"/>
  <c r="C72" i="12"/>
  <c r="G72" i="12" s="1"/>
  <c r="E71" i="12"/>
  <c r="C83" i="12"/>
  <c r="G65" i="12"/>
  <c r="G83" i="12" s="1"/>
  <c r="F20" i="65"/>
  <c r="E100" i="12"/>
  <c r="E84" i="12"/>
  <c r="E69" i="12"/>
  <c r="G69" i="12" s="1"/>
  <c r="I50" i="12"/>
  <c r="C70" i="12"/>
  <c r="I51" i="12"/>
  <c r="C71" i="12"/>
  <c r="G71" i="12" s="1"/>
  <c r="E70" i="12"/>
  <c r="D25" i="41"/>
  <c r="C56" i="26"/>
  <c r="E18" i="12"/>
  <c r="H70" i="12"/>
  <c r="AC18" i="2"/>
  <c r="D29" i="26"/>
  <c r="D57" i="26" s="1"/>
  <c r="D58" i="26" s="1"/>
  <c r="D30" i="26" s="1"/>
  <c r="O27" i="3"/>
  <c r="O28" i="3" s="1"/>
  <c r="G19" i="65"/>
  <c r="J19" i="65" s="1"/>
  <c r="T99" i="60"/>
  <c r="I56" i="12"/>
  <c r="G118" i="12"/>
  <c r="I83" i="12"/>
  <c r="H100" i="12"/>
  <c r="J35" i="12"/>
  <c r="D54" i="12"/>
  <c r="H67" i="12"/>
  <c r="X44" i="61"/>
  <c r="H66" i="12"/>
  <c r="H84" i="12" s="1"/>
  <c r="J53" i="12"/>
  <c r="C57" i="26"/>
  <c r="C58" i="26" s="1"/>
  <c r="C30" i="26" s="1"/>
  <c r="E19" i="12"/>
  <c r="I57" i="12"/>
  <c r="C73" i="12"/>
  <c r="U47" i="60"/>
  <c r="G44" i="61"/>
  <c r="D75" i="12"/>
  <c r="H75" i="12" s="1"/>
  <c r="F74" i="12"/>
  <c r="H74" i="12" s="1"/>
  <c r="K55" i="12"/>
  <c r="K58" i="12" s="1"/>
  <c r="H21" i="41"/>
  <c r="H25" i="41" s="1"/>
  <c r="R18" i="65"/>
  <c r="K18" i="65"/>
  <c r="H73" i="12"/>
  <c r="D36" i="12"/>
  <c r="F84" i="12"/>
  <c r="F100" i="12"/>
  <c r="X72" i="61"/>
  <c r="W73" i="61"/>
  <c r="F72" i="61"/>
  <c r="C68" i="12"/>
  <c r="G68" i="12" s="1"/>
  <c r="E67" i="12"/>
  <c r="G67" i="12" s="1"/>
  <c r="I48" i="12"/>
  <c r="I39" i="12"/>
  <c r="G66" i="12"/>
  <c r="AB70" i="73" l="1"/>
  <c r="AD70" i="73"/>
  <c r="I58" i="12"/>
  <c r="G70" i="12"/>
  <c r="G119" i="12"/>
  <c r="H101" i="12"/>
  <c r="H85" i="12"/>
  <c r="E85" i="12"/>
  <c r="E101" i="12"/>
  <c r="W41" i="61"/>
  <c r="F42" i="61"/>
  <c r="U75" i="60"/>
  <c r="V75" i="60" s="1"/>
  <c r="W75" i="60" s="1"/>
  <c r="G72" i="61"/>
  <c r="J54" i="12"/>
  <c r="E73" i="12"/>
  <c r="G73" i="12" s="1"/>
  <c r="C74" i="12"/>
  <c r="J83" i="12"/>
  <c r="C118" i="12"/>
  <c r="I100" i="12"/>
  <c r="G20" i="65"/>
  <c r="F26" i="65"/>
  <c r="T100" i="60"/>
  <c r="X73" i="61"/>
  <c r="W74" i="61"/>
  <c r="F73" i="61"/>
  <c r="F101" i="12"/>
  <c r="F85" i="12"/>
  <c r="D38" i="12"/>
  <c r="E19" i="41"/>
  <c r="F21" i="65"/>
  <c r="G84" i="12"/>
  <c r="E118" i="12"/>
  <c r="G100" i="12"/>
  <c r="U46" i="60"/>
  <c r="G43" i="61"/>
  <c r="D101" i="12"/>
  <c r="D85" i="12"/>
  <c r="J36" i="12"/>
  <c r="E20" i="41" s="1"/>
  <c r="G20" i="41" s="1"/>
  <c r="D55" i="12"/>
  <c r="R19" i="65"/>
  <c r="K19" i="65"/>
  <c r="D37" i="12"/>
  <c r="C84" i="12"/>
  <c r="C100" i="12"/>
  <c r="X43" i="61"/>
  <c r="AD71" i="73" l="1"/>
  <c r="G21" i="65"/>
  <c r="T101" i="60"/>
  <c r="F25" i="65"/>
  <c r="W75" i="61"/>
  <c r="F74" i="61"/>
  <c r="X74" i="61"/>
  <c r="W40" i="61"/>
  <c r="F41" i="61"/>
  <c r="G19" i="41"/>
  <c r="J38" i="12"/>
  <c r="E22" i="41" s="1"/>
  <c r="G22" i="41" s="1"/>
  <c r="D57" i="12"/>
  <c r="F102" i="12"/>
  <c r="F86" i="12"/>
  <c r="J55" i="12"/>
  <c r="C75" i="12"/>
  <c r="E74" i="12"/>
  <c r="E119" i="12"/>
  <c r="G85" i="12"/>
  <c r="G101" i="12"/>
  <c r="I11" i="41"/>
  <c r="I84" i="12"/>
  <c r="D86" i="12"/>
  <c r="D102" i="12"/>
  <c r="G42" i="61"/>
  <c r="U45" i="60"/>
  <c r="E102" i="12"/>
  <c r="E86" i="12"/>
  <c r="H102" i="12"/>
  <c r="G120" i="12"/>
  <c r="H86" i="12"/>
  <c r="G26" i="65"/>
  <c r="J20" i="65"/>
  <c r="C101" i="12"/>
  <c r="C85" i="12"/>
  <c r="J37" i="12"/>
  <c r="D56" i="12"/>
  <c r="U76" i="60"/>
  <c r="V76" i="60" s="1"/>
  <c r="W76" i="60" s="1"/>
  <c r="G73" i="61"/>
  <c r="G74" i="12"/>
  <c r="X42" i="61"/>
  <c r="AB72" i="73" l="1"/>
  <c r="AD72" i="73"/>
  <c r="E120" i="12"/>
  <c r="G102" i="12"/>
  <c r="G86" i="12"/>
  <c r="I86" i="12" s="1"/>
  <c r="R20" i="65"/>
  <c r="R26" i="65" s="1"/>
  <c r="K20" i="65"/>
  <c r="K26" i="65" s="1"/>
  <c r="H87" i="12"/>
  <c r="H103" i="12"/>
  <c r="G121" i="12"/>
  <c r="E103" i="12"/>
  <c r="E87" i="12"/>
  <c r="D87" i="12"/>
  <c r="D103" i="12"/>
  <c r="J84" i="12"/>
  <c r="I101" i="12"/>
  <c r="C119" i="12"/>
  <c r="G41" i="61"/>
  <c r="U44" i="60"/>
  <c r="T106" i="60"/>
  <c r="F111" i="60" s="1"/>
  <c r="T105" i="60"/>
  <c r="E111" i="60" s="1"/>
  <c r="T104" i="60"/>
  <c r="D111" i="60" s="1"/>
  <c r="F87" i="12"/>
  <c r="F103" i="12"/>
  <c r="F40" i="61"/>
  <c r="W39" i="61"/>
  <c r="G74" i="61"/>
  <c r="U77" i="60"/>
  <c r="V77" i="60" s="1"/>
  <c r="W77" i="60" s="1"/>
  <c r="G25" i="65"/>
  <c r="J21" i="65"/>
  <c r="J56" i="12"/>
  <c r="C76" i="12"/>
  <c r="E75" i="12"/>
  <c r="G75" i="12" s="1"/>
  <c r="C102" i="12"/>
  <c r="C86" i="12"/>
  <c r="I85" i="12"/>
  <c r="F75" i="61"/>
  <c r="X75" i="61"/>
  <c r="W76" i="61"/>
  <c r="E21" i="41"/>
  <c r="J39" i="12"/>
  <c r="J57" i="12"/>
  <c r="J58" i="12" s="1"/>
  <c r="E76" i="12"/>
  <c r="X41" i="61"/>
  <c r="AB73" i="73" l="1"/>
  <c r="AD73" i="73"/>
  <c r="U78" i="60"/>
  <c r="V78" i="60" s="1"/>
  <c r="W78" i="60" s="1"/>
  <c r="G75" i="61"/>
  <c r="I102" i="12"/>
  <c r="I13" i="41" s="1"/>
  <c r="J85" i="12"/>
  <c r="C120" i="12"/>
  <c r="R21" i="65"/>
  <c r="R25" i="65" s="1"/>
  <c r="K21" i="65"/>
  <c r="K25" i="65" s="1"/>
  <c r="F39" i="61"/>
  <c r="W38" i="61"/>
  <c r="I12" i="41"/>
  <c r="X40" i="61"/>
  <c r="F104" i="12"/>
  <c r="F88" i="12"/>
  <c r="J86" i="12"/>
  <c r="C121" i="12"/>
  <c r="I103" i="12"/>
  <c r="I14" i="41" s="1"/>
  <c r="G103" i="12"/>
  <c r="E121" i="12"/>
  <c r="G87" i="12"/>
  <c r="G21" i="41"/>
  <c r="G25" i="41" s="1"/>
  <c r="E25" i="41"/>
  <c r="X76" i="61"/>
  <c r="F76" i="61"/>
  <c r="W77" i="61"/>
  <c r="G76" i="12"/>
  <c r="G40" i="61"/>
  <c r="U43" i="60"/>
  <c r="E104" i="12"/>
  <c r="E88" i="12"/>
  <c r="C103" i="12"/>
  <c r="C87" i="12"/>
  <c r="D104" i="12"/>
  <c r="D88" i="12"/>
  <c r="H104" i="12"/>
  <c r="H88" i="12"/>
  <c r="G122" i="12"/>
  <c r="I87" i="12"/>
  <c r="AB74" i="73" l="1"/>
  <c r="AD74" i="73"/>
  <c r="E89" i="12"/>
  <c r="E105" i="12"/>
  <c r="X77" i="61"/>
  <c r="F77" i="61"/>
  <c r="W78" i="61"/>
  <c r="J87" i="12"/>
  <c r="I104" i="12"/>
  <c r="I15" i="41" s="1"/>
  <c r="C122" i="12"/>
  <c r="U79" i="60"/>
  <c r="V79" i="60" s="1"/>
  <c r="W79" i="60" s="1"/>
  <c r="G76" i="61"/>
  <c r="F89" i="12"/>
  <c r="F105" i="12"/>
  <c r="W37" i="61"/>
  <c r="F38" i="61"/>
  <c r="H105" i="12"/>
  <c r="G123" i="12"/>
  <c r="H89" i="12"/>
  <c r="D89" i="12"/>
  <c r="D105" i="12"/>
  <c r="C104" i="12"/>
  <c r="C88" i="12"/>
  <c r="X39" i="61"/>
  <c r="E122" i="12"/>
  <c r="G88" i="12"/>
  <c r="I88" i="12" s="1"/>
  <c r="G104" i="12"/>
  <c r="U42" i="60"/>
  <c r="G39" i="61"/>
  <c r="AB75" i="73" l="1"/>
  <c r="AD75" i="73"/>
  <c r="D106" i="12"/>
  <c r="D90" i="12"/>
  <c r="U41" i="60"/>
  <c r="E106" i="12"/>
  <c r="E90" i="12"/>
  <c r="G89" i="12"/>
  <c r="G105" i="12"/>
  <c r="E123" i="12"/>
  <c r="C105" i="12"/>
  <c r="C89" i="12"/>
  <c r="H90" i="12"/>
  <c r="G124" i="12"/>
  <c r="I89" i="12"/>
  <c r="H106" i="12"/>
  <c r="W36" i="61"/>
  <c r="X37" i="61" s="1"/>
  <c r="F37" i="61"/>
  <c r="G38" i="61" s="1"/>
  <c r="F106" i="12"/>
  <c r="F90" i="12"/>
  <c r="C123" i="12"/>
  <c r="I105" i="12"/>
  <c r="J88" i="12"/>
  <c r="F78" i="61"/>
  <c r="X78" i="61"/>
  <c r="W79" i="61"/>
  <c r="X38" i="61"/>
  <c r="U80" i="60"/>
  <c r="V80" i="60" s="1"/>
  <c r="W80" i="60" s="1"/>
  <c r="G77" i="61"/>
  <c r="AB76" i="73" l="1"/>
  <c r="AD76" i="73"/>
  <c r="G78" i="61"/>
  <c r="U81" i="60"/>
  <c r="V81" i="60" s="1"/>
  <c r="W81" i="60" s="1"/>
  <c r="C106" i="12"/>
  <c r="C90" i="12"/>
  <c r="E107" i="12"/>
  <c r="E91" i="12"/>
  <c r="F91" i="12"/>
  <c r="F107" i="12"/>
  <c r="I106" i="12"/>
  <c r="I17" i="41" s="1"/>
  <c r="J89" i="12"/>
  <c r="C124" i="12"/>
  <c r="W80" i="61"/>
  <c r="F79" i="61"/>
  <c r="X79" i="61"/>
  <c r="U40" i="60"/>
  <c r="G90" i="12"/>
  <c r="E124" i="12"/>
  <c r="G106" i="12"/>
  <c r="D91" i="12"/>
  <c r="D107" i="12"/>
  <c r="I16" i="41"/>
  <c r="F36" i="61"/>
  <c r="W35" i="61"/>
  <c r="X36" i="61" s="1"/>
  <c r="H107" i="12"/>
  <c r="I90" i="12"/>
  <c r="H91" i="12"/>
  <c r="G125" i="12"/>
  <c r="AB77" i="73" l="1"/>
  <c r="AD77" i="73"/>
  <c r="D108" i="12"/>
  <c r="D92" i="12"/>
  <c r="U82" i="60"/>
  <c r="V82" i="60" s="1"/>
  <c r="W82" i="60" s="1"/>
  <c r="G79" i="61"/>
  <c r="E125" i="12"/>
  <c r="G107" i="12"/>
  <c r="G91" i="12"/>
  <c r="I91" i="12" s="1"/>
  <c r="W81" i="61"/>
  <c r="F80" i="61"/>
  <c r="X80" i="61"/>
  <c r="F35" i="61"/>
  <c r="W34" i="61"/>
  <c r="X35" i="61"/>
  <c r="H92" i="12"/>
  <c r="H108" i="12"/>
  <c r="G126" i="12"/>
  <c r="J90" i="12"/>
  <c r="C125" i="12"/>
  <c r="I107" i="12"/>
  <c r="U39" i="60"/>
  <c r="G36" i="61"/>
  <c r="F92" i="12"/>
  <c r="F108" i="12"/>
  <c r="G37" i="61"/>
  <c r="E92" i="12"/>
  <c r="E108" i="12"/>
  <c r="C91" i="12"/>
  <c r="C107" i="12"/>
  <c r="AB78" i="73" l="1"/>
  <c r="AD78" i="73"/>
  <c r="I108" i="12"/>
  <c r="I19" i="41" s="1"/>
  <c r="J91" i="12"/>
  <c r="C126" i="12"/>
  <c r="I18" i="41"/>
  <c r="F34" i="61"/>
  <c r="W33" i="61"/>
  <c r="D109" i="12"/>
  <c r="D93" i="12"/>
  <c r="C108" i="12"/>
  <c r="C92" i="12"/>
  <c r="E109" i="12"/>
  <c r="E93" i="12"/>
  <c r="G35" i="61"/>
  <c r="U38" i="60"/>
  <c r="F93" i="12"/>
  <c r="F109" i="12"/>
  <c r="H93" i="12"/>
  <c r="H109" i="12"/>
  <c r="G127" i="12"/>
  <c r="U83" i="60"/>
  <c r="V83" i="60" s="1"/>
  <c r="W83" i="60" s="1"/>
  <c r="G80" i="61"/>
  <c r="G92" i="12"/>
  <c r="I92" i="12" s="1"/>
  <c r="E126" i="12"/>
  <c r="G108" i="12"/>
  <c r="F81" i="61"/>
  <c r="X81" i="61"/>
  <c r="W82" i="61"/>
  <c r="AB79" i="73" l="1"/>
  <c r="AD79" i="73"/>
  <c r="I109" i="12"/>
  <c r="I20" i="41" s="1"/>
  <c r="J92" i="12"/>
  <c r="C127" i="12"/>
  <c r="F33" i="61"/>
  <c r="W32" i="61"/>
  <c r="X33" i="61" s="1"/>
  <c r="U37" i="60"/>
  <c r="C109" i="12"/>
  <c r="C93" i="12"/>
  <c r="W83" i="61"/>
  <c r="F82" i="61"/>
  <c r="X82" i="61"/>
  <c r="E94" i="12"/>
  <c r="E111" i="12" s="1"/>
  <c r="E110" i="12"/>
  <c r="D110" i="12"/>
  <c r="D94" i="12"/>
  <c r="D111" i="12" s="1"/>
  <c r="X34" i="61"/>
  <c r="G81" i="61"/>
  <c r="U84" i="60"/>
  <c r="V84" i="60" s="1"/>
  <c r="W84" i="60" s="1"/>
  <c r="E127" i="12"/>
  <c r="G109" i="12"/>
  <c r="G93" i="12"/>
  <c r="I93" i="12" s="1"/>
  <c r="H94" i="12"/>
  <c r="H110" i="12"/>
  <c r="G128" i="12"/>
  <c r="F110" i="12"/>
  <c r="F94" i="12"/>
  <c r="F111" i="12" s="1"/>
  <c r="AB80" i="73" l="1"/>
  <c r="AD80" i="73"/>
  <c r="I110" i="12"/>
  <c r="I21" i="41" s="1"/>
  <c r="C128" i="12"/>
  <c r="J93" i="12"/>
  <c r="U36" i="60"/>
  <c r="C110" i="12"/>
  <c r="C94" i="12"/>
  <c r="C111" i="12" s="1"/>
  <c r="F112" i="12"/>
  <c r="E112" i="12"/>
  <c r="U85" i="60"/>
  <c r="V85" i="60" s="1"/>
  <c r="W85" i="60" s="1"/>
  <c r="G82" i="61"/>
  <c r="H111" i="12"/>
  <c r="H112" i="12" s="1"/>
  <c r="G129" i="12"/>
  <c r="H117" i="12" s="1"/>
  <c r="G110" i="12"/>
  <c r="G94" i="12"/>
  <c r="E128" i="12"/>
  <c r="D112" i="12"/>
  <c r="X83" i="61"/>
  <c r="F83" i="61"/>
  <c r="W84" i="61"/>
  <c r="G34" i="61"/>
  <c r="F32" i="61"/>
  <c r="W31" i="61"/>
  <c r="AB81" i="73" l="1"/>
  <c r="AD81" i="73"/>
  <c r="U86" i="60"/>
  <c r="V86" i="60" s="1"/>
  <c r="W86" i="60" s="1"/>
  <c r="G83" i="61"/>
  <c r="U35" i="60"/>
  <c r="E129" i="12"/>
  <c r="F117" i="12" s="1"/>
  <c r="G111" i="12"/>
  <c r="G112" i="12" s="1"/>
  <c r="I94" i="12"/>
  <c r="F31" i="61"/>
  <c r="W30" i="61"/>
  <c r="X31" i="61" s="1"/>
  <c r="X32" i="61"/>
  <c r="F84" i="61"/>
  <c r="X84" i="61"/>
  <c r="W85" i="61"/>
  <c r="C112" i="12"/>
  <c r="G33" i="61"/>
  <c r="AB82" i="73" l="1"/>
  <c r="AD82" i="73"/>
  <c r="G84" i="61"/>
  <c r="U87" i="60"/>
  <c r="V87" i="60" s="1"/>
  <c r="W87" i="60" s="1"/>
  <c r="C129" i="12"/>
  <c r="D117" i="12" s="1"/>
  <c r="J2" i="12" s="1"/>
  <c r="J94" i="12"/>
  <c r="I111" i="12"/>
  <c r="F85" i="61"/>
  <c r="X85" i="61"/>
  <c r="W86" i="61"/>
  <c r="F30" i="61"/>
  <c r="G31" i="61" s="1"/>
  <c r="W29" i="61"/>
  <c r="X30" i="61" s="1"/>
  <c r="U34" i="60"/>
  <c r="G32" i="61"/>
  <c r="AB83" i="73" l="1"/>
  <c r="AD83" i="73"/>
  <c r="F29" i="61"/>
  <c r="W28" i="61"/>
  <c r="X29" i="61" s="1"/>
  <c r="G85" i="61"/>
  <c r="U88" i="60"/>
  <c r="V88" i="60" s="1"/>
  <c r="W88" i="60" s="1"/>
  <c r="G30" i="61"/>
  <c r="U33" i="60"/>
  <c r="I22" i="41"/>
  <c r="I25" i="41" s="1"/>
  <c r="I112" i="12"/>
  <c r="G2" i="12" s="1"/>
  <c r="F86" i="61"/>
  <c r="W87" i="61"/>
  <c r="X86" i="61"/>
  <c r="AB84" i="73" l="1"/>
  <c r="AD84" i="73"/>
  <c r="AC127" i="73" s="1"/>
  <c r="AD127" i="73" s="1"/>
  <c r="F87" i="61"/>
  <c r="X87" i="61"/>
  <c r="W88" i="61"/>
  <c r="U89" i="60"/>
  <c r="V89" i="60" s="1"/>
  <c r="W89" i="60" s="1"/>
  <c r="G86" i="61"/>
  <c r="X28" i="61"/>
  <c r="F28" i="61"/>
  <c r="W27" i="61"/>
  <c r="G29" i="61"/>
  <c r="U32" i="60"/>
  <c r="AB85" i="73" l="1"/>
  <c r="AD85" i="73"/>
  <c r="F88" i="61"/>
  <c r="X88" i="61"/>
  <c r="W89" i="61"/>
  <c r="F27" i="61"/>
  <c r="G28" i="61" s="1"/>
  <c r="W26" i="61"/>
  <c r="X27" i="61" s="1"/>
  <c r="U31" i="60"/>
  <c r="U90" i="60"/>
  <c r="V90" i="60" s="1"/>
  <c r="W90" i="60" s="1"/>
  <c r="G87" i="61"/>
  <c r="AB86" i="73" l="1"/>
  <c r="AD86" i="73"/>
  <c r="U30" i="60"/>
  <c r="F89" i="61"/>
  <c r="X89" i="61"/>
  <c r="W90" i="61"/>
  <c r="F26" i="61"/>
  <c r="X26" i="61"/>
  <c r="W25" i="61"/>
  <c r="G88" i="61"/>
  <c r="U91" i="60"/>
  <c r="V91" i="60" s="1"/>
  <c r="W91" i="60" s="1"/>
  <c r="AB87" i="73" l="1"/>
  <c r="AD87" i="73"/>
  <c r="U29" i="60"/>
  <c r="U92" i="60"/>
  <c r="V92" i="60" s="1"/>
  <c r="W92" i="60" s="1"/>
  <c r="G89" i="61"/>
  <c r="W24" i="61"/>
  <c r="X25" i="61" s="1"/>
  <c r="F25" i="61"/>
  <c r="G27" i="61"/>
  <c r="W91" i="61"/>
  <c r="X90" i="61"/>
  <c r="F90" i="61"/>
  <c r="AB88" i="73" l="1"/>
  <c r="AD88" i="73"/>
  <c r="X91" i="61"/>
  <c r="F91" i="61"/>
  <c r="W92" i="61"/>
  <c r="U28" i="60"/>
  <c r="U93" i="60"/>
  <c r="V93" i="60" s="1"/>
  <c r="W93" i="60" s="1"/>
  <c r="G90" i="61"/>
  <c r="F24" i="61"/>
  <c r="G25" i="61" s="1"/>
  <c r="W23" i="61"/>
  <c r="X24" i="61" s="1"/>
  <c r="G26" i="61"/>
  <c r="AB89" i="73" l="1"/>
  <c r="AD89" i="73"/>
  <c r="G10" i="74" s="1"/>
  <c r="U27" i="60"/>
  <c r="X92" i="61"/>
  <c r="F92" i="61"/>
  <c r="W93" i="61"/>
  <c r="U94" i="60"/>
  <c r="V94" i="60" s="1"/>
  <c r="W94" i="60" s="1"/>
  <c r="G91" i="61"/>
  <c r="F23" i="61"/>
  <c r="W22" i="61"/>
  <c r="X23" i="61" s="1"/>
  <c r="AB90" i="73" l="1"/>
  <c r="AD90" i="73"/>
  <c r="G11" i="74" s="1"/>
  <c r="F93" i="61"/>
  <c r="X93" i="61"/>
  <c r="W94" i="61"/>
  <c r="W21" i="61"/>
  <c r="X22" i="61" s="1"/>
  <c r="F22" i="61"/>
  <c r="G23" i="61" s="1"/>
  <c r="U26" i="60"/>
  <c r="U95" i="60"/>
  <c r="V95" i="60" s="1"/>
  <c r="W95" i="60" s="1"/>
  <c r="G92" i="61"/>
  <c r="G24" i="61"/>
  <c r="N11" i="74" l="1"/>
  <c r="M11" i="74" s="1"/>
  <c r="H11" i="74"/>
  <c r="AB91" i="73"/>
  <c r="AD91" i="73"/>
  <c r="G12" i="74" s="1"/>
  <c r="G93" i="61"/>
  <c r="U96" i="60"/>
  <c r="V96" i="60" s="1"/>
  <c r="W96" i="60" s="1"/>
  <c r="U25" i="60"/>
  <c r="W20" i="61"/>
  <c r="F21" i="61"/>
  <c r="X94" i="61"/>
  <c r="W95" i="61"/>
  <c r="F94" i="61"/>
  <c r="R11" i="74" l="1"/>
  <c r="N12" i="74"/>
  <c r="H12" i="74"/>
  <c r="R12" i="74"/>
  <c r="M12" i="74"/>
  <c r="AB92" i="73"/>
  <c r="AD92" i="73"/>
  <c r="G13" i="74" s="1"/>
  <c r="G94" i="61"/>
  <c r="U97" i="60"/>
  <c r="V97" i="60" s="1"/>
  <c r="W97" i="60" s="1"/>
  <c r="G21" i="61"/>
  <c r="U24" i="60"/>
  <c r="F20" i="61"/>
  <c r="W19" i="61"/>
  <c r="G22" i="61"/>
  <c r="X95" i="61"/>
  <c r="F95" i="61"/>
  <c r="W96" i="61"/>
  <c r="X21" i="61"/>
  <c r="N13" i="74" l="1"/>
  <c r="R13" i="74" s="1"/>
  <c r="H13" i="74"/>
  <c r="AB93" i="73"/>
  <c r="AD93" i="73"/>
  <c r="G14" i="74" s="1"/>
  <c r="X96" i="61"/>
  <c r="W97" i="61"/>
  <c r="F96" i="61"/>
  <c r="W18" i="61"/>
  <c r="X19" i="61"/>
  <c r="F19" i="61"/>
  <c r="G20" i="61" s="1"/>
  <c r="G95" i="61"/>
  <c r="U98" i="60"/>
  <c r="V98" i="60" s="1"/>
  <c r="W98" i="60" s="1"/>
  <c r="X20" i="61"/>
  <c r="U23" i="60"/>
  <c r="M13" i="74" l="1"/>
  <c r="M14" i="74" s="1"/>
  <c r="N14" i="74"/>
  <c r="H14" i="74"/>
  <c r="R14" i="74"/>
  <c r="AB94" i="73"/>
  <c r="AD94" i="73"/>
  <c r="G15" i="74" s="1"/>
  <c r="U22" i="60"/>
  <c r="F97" i="61"/>
  <c r="X97" i="61"/>
  <c r="W98" i="61"/>
  <c r="W17" i="61"/>
  <c r="F18" i="61"/>
  <c r="X18" i="61"/>
  <c r="G96" i="61"/>
  <c r="U99" i="60"/>
  <c r="V99" i="60" s="1"/>
  <c r="W99" i="60" s="1"/>
  <c r="N15" i="74" l="1"/>
  <c r="M15" i="74" s="1"/>
  <c r="H15" i="74"/>
  <c r="AB95" i="73"/>
  <c r="AD95" i="73"/>
  <c r="G16" i="74" s="1"/>
  <c r="U21" i="60"/>
  <c r="G97" i="61"/>
  <c r="U100" i="60"/>
  <c r="V100" i="60" s="1"/>
  <c r="W100" i="60" s="1"/>
  <c r="F17" i="61"/>
  <c r="W16" i="61"/>
  <c r="X17" i="61" s="1"/>
  <c r="X98" i="61"/>
  <c r="F98" i="61"/>
  <c r="G19" i="61"/>
  <c r="R15" i="74" l="1"/>
  <c r="N16" i="74"/>
  <c r="M16" i="74" s="1"/>
  <c r="H16" i="74"/>
  <c r="R16" i="74"/>
  <c r="AB96" i="73"/>
  <c r="AD96" i="73"/>
  <c r="G17" i="74" s="1"/>
  <c r="G98" i="61"/>
  <c r="U101" i="60"/>
  <c r="V101" i="60" s="1"/>
  <c r="W101" i="60" s="1"/>
  <c r="W15" i="61"/>
  <c r="F16" i="61"/>
  <c r="X16" i="61"/>
  <c r="U20" i="60"/>
  <c r="G17" i="61"/>
  <c r="G18" i="61"/>
  <c r="N17" i="74" l="1"/>
  <c r="H17" i="74"/>
  <c r="R17" i="74"/>
  <c r="M17" i="74"/>
  <c r="AB97" i="73"/>
  <c r="AD97" i="73"/>
  <c r="G18" i="74" s="1"/>
  <c r="U19" i="60"/>
  <c r="W14" i="61"/>
  <c r="F15" i="61"/>
  <c r="N18" i="74" l="1"/>
  <c r="H18" i="74"/>
  <c r="AB98" i="73"/>
  <c r="AD98" i="73"/>
  <c r="G19" i="74" s="1"/>
  <c r="R18" i="74"/>
  <c r="M18" i="74"/>
  <c r="W13" i="61"/>
  <c r="X14" i="61" s="1"/>
  <c r="F14" i="61"/>
  <c r="X15" i="61"/>
  <c r="G15" i="61"/>
  <c r="U18" i="60"/>
  <c r="G16" i="61"/>
  <c r="N19" i="74" l="1"/>
  <c r="H19" i="74"/>
  <c r="R19" i="74"/>
  <c r="M19" i="74"/>
  <c r="AB99" i="73"/>
  <c r="AD99" i="73"/>
  <c r="G20" i="74" s="1"/>
  <c r="U17" i="60"/>
  <c r="F13" i="61"/>
  <c r="W12" i="61"/>
  <c r="X13" i="61" s="1"/>
  <c r="N20" i="74" l="1"/>
  <c r="H20" i="74"/>
  <c r="R20" i="74"/>
  <c r="M20" i="74"/>
  <c r="AB100" i="73"/>
  <c r="AD100" i="73"/>
  <c r="G21" i="74" s="1"/>
  <c r="H21" i="74" s="1"/>
  <c r="F12" i="61"/>
  <c r="W11" i="61"/>
  <c r="X12" i="61" s="1"/>
  <c r="U16" i="60"/>
  <c r="G13" i="61"/>
  <c r="G14" i="61"/>
  <c r="G28" i="74" l="1"/>
  <c r="N21" i="74"/>
  <c r="AB101" i="73"/>
  <c r="AD102" i="73" s="1"/>
  <c r="G23" i="74" s="1"/>
  <c r="AD101" i="73"/>
  <c r="F11" i="61"/>
  <c r="W10" i="61"/>
  <c r="X11" i="61" s="1"/>
  <c r="G12" i="61"/>
  <c r="U15" i="60"/>
  <c r="AB104" i="73" l="1"/>
  <c r="AB106" i="73"/>
  <c r="AB105" i="73"/>
  <c r="R21" i="74"/>
  <c r="R28" i="74" s="1"/>
  <c r="M21" i="74"/>
  <c r="N28" i="74"/>
  <c r="G22" i="74"/>
  <c r="AD104" i="73"/>
  <c r="D110" i="73" s="1"/>
  <c r="D112" i="73" s="1"/>
  <c r="AD106" i="73"/>
  <c r="F110" i="73" s="1"/>
  <c r="AC116" i="73"/>
  <c r="AD105" i="73"/>
  <c r="E110" i="73" s="1"/>
  <c r="E112" i="73" s="1"/>
  <c r="F10" i="61"/>
  <c r="W9" i="61"/>
  <c r="X10" i="61" s="1"/>
  <c r="G11" i="61"/>
  <c r="U14" i="60"/>
  <c r="N22" i="74" l="1"/>
  <c r="H22" i="74"/>
  <c r="H23" i="74"/>
  <c r="G27" i="74"/>
  <c r="AC117" i="73"/>
  <c r="AC115" i="73"/>
  <c r="AD116" i="73"/>
  <c r="AC123" i="73"/>
  <c r="AD123" i="73" s="1"/>
  <c r="F9" i="61"/>
  <c r="W8" i="61"/>
  <c r="F8" i="61" s="1"/>
  <c r="X9" i="61"/>
  <c r="U13" i="60"/>
  <c r="G10" i="61"/>
  <c r="AD115" i="73" l="1"/>
  <c r="AC114" i="73"/>
  <c r="AC122" i="73"/>
  <c r="AD122" i="73" s="1"/>
  <c r="AC124" i="73"/>
  <c r="AD124" i="73" s="1"/>
  <c r="AD117" i="73"/>
  <c r="AC118" i="73"/>
  <c r="AD118" i="73" s="1"/>
  <c r="M22" i="74"/>
  <c r="R22" i="74"/>
  <c r="R27" i="74" s="1"/>
  <c r="N27" i="74"/>
  <c r="G119" i="60"/>
  <c r="Y59" i="60" s="1"/>
  <c r="U11" i="60"/>
  <c r="U12" i="60"/>
  <c r="G9" i="61"/>
  <c r="AC121" i="73" l="1"/>
  <c r="AD114" i="73"/>
  <c r="V31" i="60"/>
  <c r="V35" i="60"/>
  <c r="W35" i="60" s="1"/>
  <c r="V39" i="60"/>
  <c r="W39" i="60" s="1"/>
  <c r="V49" i="60"/>
  <c r="W49" i="60" s="1"/>
  <c r="V13" i="60"/>
  <c r="W13" i="60" s="1"/>
  <c r="V17" i="60"/>
  <c r="W17" i="60" s="1"/>
  <c r="V25" i="60"/>
  <c r="W25" i="60" s="1"/>
  <c r="V30" i="60"/>
  <c r="V36" i="60"/>
  <c r="W36" i="60" s="1"/>
  <c r="V41" i="60"/>
  <c r="W41" i="60" s="1"/>
  <c r="V46" i="60"/>
  <c r="W46" i="60" s="1"/>
  <c r="V48" i="60"/>
  <c r="W48" i="60" s="1"/>
  <c r="V14" i="60"/>
  <c r="W14" i="60" s="1"/>
  <c r="V19" i="60"/>
  <c r="W19" i="60" s="1"/>
  <c r="V24" i="60"/>
  <c r="W24" i="60" s="1"/>
  <c r="V50" i="60"/>
  <c r="W50" i="60" s="1"/>
  <c r="V53" i="60"/>
  <c r="W53" i="60" s="1"/>
  <c r="V58" i="60"/>
  <c r="W58" i="60" s="1"/>
  <c r="V29" i="60"/>
  <c r="V45" i="60"/>
  <c r="W45" i="60" s="1"/>
  <c r="V32" i="60"/>
  <c r="V37" i="60"/>
  <c r="W37" i="60" s="1"/>
  <c r="V42" i="60"/>
  <c r="W42" i="60" s="1"/>
  <c r="Y60" i="60"/>
  <c r="V20" i="60"/>
  <c r="W20" i="60" s="1"/>
  <c r="V26" i="60"/>
  <c r="W26" i="60" s="1"/>
  <c r="V51" i="60"/>
  <c r="W51" i="60" s="1"/>
  <c r="V59" i="60"/>
  <c r="W59" i="60" s="1"/>
  <c r="AA60" i="60"/>
  <c r="V11" i="60"/>
  <c r="V27" i="60"/>
  <c r="W27" i="60" s="1"/>
  <c r="V54" i="60"/>
  <c r="W54" i="60" s="1"/>
  <c r="V28" i="60"/>
  <c r="V38" i="60"/>
  <c r="W38" i="60" s="1"/>
  <c r="V44" i="60"/>
  <c r="W44" i="60" s="1"/>
  <c r="V16" i="60"/>
  <c r="W16" i="60" s="1"/>
  <c r="V22" i="60"/>
  <c r="W22" i="60" s="1"/>
  <c r="V57" i="60"/>
  <c r="W57" i="60" s="1"/>
  <c r="V18" i="60"/>
  <c r="W18" i="60" s="1"/>
  <c r="V52" i="60"/>
  <c r="W52" i="60" s="1"/>
  <c r="V23" i="60"/>
  <c r="W23" i="60" s="1"/>
  <c r="V55" i="60"/>
  <c r="W55" i="60" s="1"/>
  <c r="V47" i="60"/>
  <c r="W47" i="60" s="1"/>
  <c r="V21" i="60"/>
  <c r="W21" i="60" s="1"/>
  <c r="V12" i="60"/>
  <c r="W12" i="60" s="1"/>
  <c r="V56" i="60"/>
  <c r="W56" i="60" s="1"/>
  <c r="V34" i="60"/>
  <c r="W34" i="60" s="1"/>
  <c r="V15" i="60"/>
  <c r="W15" i="60" s="1"/>
  <c r="V33" i="60"/>
  <c r="W33" i="60" s="1"/>
  <c r="V43" i="60"/>
  <c r="W43" i="60" s="1"/>
  <c r="V40" i="60"/>
  <c r="W40" i="60" s="1"/>
  <c r="AC130" i="73" l="1"/>
  <c r="AD121" i="73"/>
  <c r="AC130" i="60"/>
  <c r="Y121" i="60"/>
  <c r="W28" i="60"/>
  <c r="Y114" i="60"/>
  <c r="W32" i="60"/>
  <c r="Y118" i="60"/>
  <c r="Y124" i="60"/>
  <c r="W31" i="60"/>
  <c r="Y117" i="60"/>
  <c r="AA61" i="60"/>
  <c r="Y61" i="60"/>
  <c r="Y116" i="60"/>
  <c r="W30" i="60"/>
  <c r="Y123" i="60"/>
  <c r="AC121" i="60"/>
  <c r="Y127" i="60"/>
  <c r="W11" i="60"/>
  <c r="Y122" i="60"/>
  <c r="Y130" i="60"/>
  <c r="AD130" i="60" s="1"/>
  <c r="Y115" i="60"/>
  <c r="W29" i="60"/>
  <c r="AB123" i="60" l="1"/>
  <c r="AB130" i="60"/>
  <c r="AB122" i="60"/>
  <c r="AB124" i="60"/>
  <c r="AA62" i="60"/>
  <c r="Y62" i="60"/>
  <c r="AD124" i="60"/>
  <c r="AB121" i="60"/>
  <c r="AD122" i="60"/>
  <c r="AD123" i="60"/>
  <c r="AD121" i="60"/>
  <c r="Y63" i="60" l="1"/>
  <c r="AA63" i="60"/>
  <c r="AA64" i="60" l="1"/>
  <c r="Y64" i="60"/>
  <c r="Y65" i="60" l="1"/>
  <c r="AA65" i="60"/>
  <c r="AA66" i="60" l="1"/>
  <c r="Y66" i="60"/>
  <c r="Y67" i="60" l="1"/>
  <c r="AA67" i="60"/>
  <c r="AA68" i="60" l="1"/>
  <c r="Y68" i="60"/>
  <c r="Y69" i="60" l="1"/>
  <c r="AA69" i="60"/>
  <c r="Y70" i="60" l="1"/>
  <c r="AA70" i="60"/>
  <c r="Y71" i="60" l="1"/>
  <c r="AA71" i="60"/>
  <c r="AA72" i="60" l="1"/>
  <c r="Y72" i="60"/>
  <c r="AA73" i="60" l="1"/>
  <c r="Y73" i="60"/>
  <c r="Y74" i="60" l="1"/>
  <c r="AA74" i="60"/>
  <c r="Y75" i="60" l="1"/>
  <c r="AA75" i="60"/>
  <c r="Y76" i="60" l="1"/>
  <c r="AA76" i="60"/>
  <c r="AA77" i="60" l="1"/>
  <c r="Y77" i="60"/>
  <c r="AA78" i="60" l="1"/>
  <c r="Y78" i="60"/>
  <c r="Y79" i="60" l="1"/>
  <c r="AA79" i="60"/>
  <c r="Y80" i="60" l="1"/>
  <c r="AA80" i="60"/>
  <c r="AA81" i="60" l="1"/>
  <c r="Y81" i="60"/>
  <c r="AA82" i="60" l="1"/>
  <c r="Y82" i="60"/>
  <c r="Y83" i="60" l="1"/>
  <c r="AA83" i="60"/>
  <c r="AA84" i="60" l="1"/>
  <c r="Z127" i="60" s="1"/>
  <c r="AA127" i="60" s="1"/>
  <c r="Y84" i="60"/>
  <c r="Y85" i="60" l="1"/>
  <c r="AA85" i="60"/>
  <c r="AA86" i="60" l="1"/>
  <c r="Y86" i="60"/>
  <c r="Y87" i="60" l="1"/>
  <c r="AA87" i="60"/>
  <c r="AA88" i="60" l="1"/>
  <c r="Y88" i="60"/>
  <c r="AA89" i="60" l="1"/>
  <c r="Y89" i="60"/>
  <c r="AA90" i="60" l="1"/>
  <c r="Y90" i="60"/>
  <c r="Y91" i="60" l="1"/>
  <c r="AA91" i="60"/>
  <c r="AA92" i="60" l="1"/>
  <c r="Y92" i="60"/>
  <c r="AA93" i="60" l="1"/>
  <c r="Y93" i="60"/>
  <c r="AA94" i="60" l="1"/>
  <c r="Y94" i="60"/>
  <c r="Y95" i="60" l="1"/>
  <c r="AA95" i="60"/>
  <c r="AA96" i="60" l="1"/>
  <c r="Y96" i="60"/>
  <c r="Y97" i="60" l="1"/>
  <c r="AA97" i="60"/>
  <c r="AA98" i="60" l="1"/>
  <c r="Y98" i="60"/>
  <c r="Y99" i="60" l="1"/>
  <c r="AA99" i="60"/>
  <c r="AA100" i="60" l="1"/>
  <c r="Y100" i="60"/>
  <c r="AA101" i="60" l="1"/>
  <c r="Y101" i="60"/>
  <c r="Y104" i="60" l="1"/>
  <c r="Y106" i="60"/>
  <c r="Y105" i="60"/>
  <c r="AA106" i="60"/>
  <c r="Z116" i="60"/>
  <c r="AA105" i="60"/>
  <c r="AA104" i="60"/>
  <c r="F110" i="60" l="1"/>
  <c r="D110" i="60"/>
  <c r="D112" i="60" s="1"/>
  <c r="E110" i="60"/>
  <c r="E112" i="60" s="1"/>
  <c r="Z115" i="60"/>
  <c r="Z117" i="60"/>
  <c r="Z123" i="60"/>
  <c r="AA123" i="60" s="1"/>
  <c r="AA116" i="60"/>
  <c r="Z118" i="60" l="1"/>
  <c r="AA118" i="60" s="1"/>
  <c r="Z124" i="60"/>
  <c r="AA124" i="60" s="1"/>
  <c r="AA117" i="60"/>
  <c r="Z122" i="60"/>
  <c r="AA122" i="60" s="1"/>
  <c r="Z114" i="60"/>
  <c r="AA115" i="60"/>
  <c r="Z121" i="60" l="1"/>
  <c r="AA114" i="60"/>
  <c r="Z130" i="60" l="1"/>
  <c r="AA121" i="60"/>
</calcChain>
</file>

<file path=xl/comments1.xml><?xml version="1.0" encoding="utf-8"?>
<comments xmlns="http://schemas.openxmlformats.org/spreadsheetml/2006/main">
  <authors>
    <author>Kelima</author>
  </authors>
  <commentList>
    <comment ref="E4" authorId="0" shapeId="0">
      <text>
        <r>
          <rPr>
            <b/>
            <sz val="8"/>
            <color indexed="81"/>
            <rFont val="Tahoma"/>
            <family val="2"/>
          </rPr>
          <t>Kelima:</t>
        </r>
        <r>
          <rPr>
            <sz val="8"/>
            <color indexed="81"/>
            <rFont val="Tahoma"/>
            <family val="2"/>
          </rPr>
          <t xml:space="preserve">
Average weekly earnings (SEPH), current dollars, for Ontario, including overtime, seasonally adjusted, for all employees, by selected industries classified using the North American Industry Classification System (NAICS)
Source: StatsCan Cansim Table 281-027 and Table 281-028
</t>
        </r>
      </text>
    </comment>
  </commentList>
</comments>
</file>

<file path=xl/sharedStrings.xml><?xml version="1.0" encoding="utf-8"?>
<sst xmlns="http://schemas.openxmlformats.org/spreadsheetml/2006/main" count="1616" uniqueCount="875">
  <si>
    <t>Data</t>
  </si>
  <si>
    <t>I</t>
  </si>
  <si>
    <t>O</t>
  </si>
  <si>
    <t>I share</t>
  </si>
  <si>
    <t>Year</t>
  </si>
  <si>
    <t>K</t>
  </si>
  <si>
    <t>Quantity Sub-indexes</t>
  </si>
  <si>
    <t>Input</t>
  </si>
  <si>
    <t>Output</t>
  </si>
  <si>
    <t>Net_generation (MWh)</t>
  </si>
  <si>
    <t>(Implicit) Price Indexes</t>
  </si>
  <si>
    <t>Year to year changes</t>
  </si>
  <si>
    <t>Laspeyres Index</t>
  </si>
  <si>
    <t>Paasche Index</t>
  </si>
  <si>
    <t>Fisher Index</t>
  </si>
  <si>
    <t>Index</t>
  </si>
  <si>
    <t>TFP</t>
  </si>
  <si>
    <t>Growth</t>
  </si>
  <si>
    <t>MW</t>
  </si>
  <si>
    <t>K$</t>
  </si>
  <si>
    <t>%</t>
  </si>
  <si>
    <t>MWh</t>
  </si>
  <si>
    <t>LEI_ID</t>
  </si>
  <si>
    <t>Company Name</t>
  </si>
  <si>
    <t>MCR</t>
  </si>
  <si>
    <t>Labour_OM&amp;A share</t>
  </si>
  <si>
    <t>Net_generation</t>
  </si>
  <si>
    <t>Revenue</t>
  </si>
  <si>
    <t>Capital</t>
  </si>
  <si>
    <t>Capital Share</t>
  </si>
  <si>
    <t>OM&amp;A Share</t>
  </si>
  <si>
    <t>OPG</t>
  </si>
  <si>
    <t>Note: Indices are for Canada</t>
  </si>
  <si>
    <t>Share of Labour</t>
  </si>
  <si>
    <t>Share of Non-labour</t>
  </si>
  <si>
    <t>GDP-IPI FDD</t>
  </si>
  <si>
    <t>StatsCan Tables: http://www5.statcan.gc.ca/cansim/a29?lang=eng&amp;groupid=All&amp;p2=17</t>
  </si>
  <si>
    <t xml:space="preserve">     See lower for GDP-IPI FDD</t>
  </si>
  <si>
    <t>Labour Price Indices</t>
  </si>
  <si>
    <r>
      <t>Table</t>
    </r>
    <r>
      <rPr>
        <b/>
        <sz val="10"/>
        <color rgb="FF333333"/>
        <rFont val="Arial"/>
        <family val="2"/>
      </rPr>
      <t> 281-0027</t>
    </r>
    <r>
      <rPr>
        <b/>
        <vertAlign val="superscript"/>
        <sz val="10"/>
        <color rgb="FF333333"/>
        <rFont val="Arial"/>
        <family val="2"/>
      </rPr>
      <t> </t>
    </r>
    <r>
      <rPr>
        <b/>
        <vertAlign val="superscript"/>
        <sz val="10"/>
        <color rgb="FF5A306B"/>
        <rFont val="Verdana"/>
        <family val="2"/>
      </rPr>
      <t>4</t>
    </r>
    <r>
      <rPr>
        <b/>
        <vertAlign val="superscript"/>
        <sz val="10"/>
        <color rgb="FF333333"/>
        <rFont val="Arial"/>
        <family val="2"/>
      </rPr>
      <t>, </t>
    </r>
    <r>
      <rPr>
        <b/>
        <vertAlign val="superscript"/>
        <sz val="10"/>
        <color rgb="FF5A306B"/>
        <rFont val="Verdana"/>
        <family val="2"/>
      </rPr>
      <t>14</t>
    </r>
    <r>
      <rPr>
        <b/>
        <vertAlign val="superscript"/>
        <sz val="10"/>
        <color rgb="FF333333"/>
        <rFont val="Arial"/>
        <family val="2"/>
      </rPr>
      <t>, </t>
    </r>
    <r>
      <rPr>
        <b/>
        <vertAlign val="superscript"/>
        <sz val="10"/>
        <color rgb="FF5A306B"/>
        <rFont val="Verdana"/>
        <family val="2"/>
      </rPr>
      <t>15</t>
    </r>
    <r>
      <rPr>
        <b/>
        <vertAlign val="superscript"/>
        <sz val="10"/>
        <color rgb="FF333333"/>
        <rFont val="Arial"/>
        <family val="2"/>
      </rPr>
      <t>, </t>
    </r>
    <r>
      <rPr>
        <b/>
        <vertAlign val="superscript"/>
        <sz val="10"/>
        <color rgb="FF5A306B"/>
        <rFont val="Verdana"/>
        <family val="2"/>
      </rPr>
      <t>16</t>
    </r>
    <r>
      <rPr>
        <b/>
        <vertAlign val="superscript"/>
        <sz val="10"/>
        <color rgb="FF333333"/>
        <rFont val="Arial"/>
        <family val="2"/>
      </rPr>
      <t>, </t>
    </r>
    <r>
      <rPr>
        <b/>
        <vertAlign val="superscript"/>
        <sz val="10"/>
        <color rgb="FF5A306B"/>
        <rFont val="Verdana"/>
        <family val="2"/>
      </rPr>
      <t>18</t>
    </r>
    <r>
      <rPr>
        <b/>
        <sz val="10"/>
        <color rgb="FF333333"/>
        <rFont val="Arial"/>
        <family val="2"/>
      </rPr>
      <t> </t>
    </r>
  </si>
  <si>
    <r>
      <t>Table</t>
    </r>
    <r>
      <rPr>
        <b/>
        <sz val="15"/>
        <color rgb="FF333333"/>
        <rFont val="Arial"/>
        <family val="2"/>
      </rPr>
      <t> </t>
    </r>
    <r>
      <rPr>
        <b/>
        <sz val="11"/>
        <color rgb="FF333333"/>
        <rFont val="Arial"/>
        <family val="2"/>
      </rPr>
      <t>281-0028</t>
    </r>
    <r>
      <rPr>
        <b/>
        <vertAlign val="superscript"/>
        <sz val="12"/>
        <color rgb="FF333333"/>
        <rFont val="Arial"/>
        <family val="2"/>
      </rPr>
      <t> </t>
    </r>
    <r>
      <rPr>
        <b/>
        <vertAlign val="superscript"/>
        <sz val="12"/>
        <color rgb="FF5A306B"/>
        <rFont val="Verdana"/>
        <family val="2"/>
      </rPr>
      <t>3</t>
    </r>
    <r>
      <rPr>
        <b/>
        <vertAlign val="superscript"/>
        <sz val="12"/>
        <color rgb="FF333333"/>
        <rFont val="Arial"/>
        <family val="2"/>
      </rPr>
      <t>, </t>
    </r>
    <r>
      <rPr>
        <b/>
        <vertAlign val="superscript"/>
        <sz val="12"/>
        <color rgb="FF5A306B"/>
        <rFont val="Verdana"/>
        <family val="2"/>
      </rPr>
      <t>12</t>
    </r>
    <r>
      <rPr>
        <b/>
        <vertAlign val="superscript"/>
        <sz val="12"/>
        <color rgb="FF333333"/>
        <rFont val="Arial"/>
        <family val="2"/>
      </rPr>
      <t>, </t>
    </r>
    <r>
      <rPr>
        <b/>
        <vertAlign val="superscript"/>
        <sz val="12"/>
        <color rgb="FF5A306B"/>
        <rFont val="Verdana"/>
        <family val="2"/>
      </rPr>
      <t>13</t>
    </r>
    <r>
      <rPr>
        <b/>
        <vertAlign val="superscript"/>
        <sz val="12"/>
        <color rgb="FF333333"/>
        <rFont val="Arial"/>
        <family val="2"/>
      </rPr>
      <t>, </t>
    </r>
    <r>
      <rPr>
        <b/>
        <vertAlign val="superscript"/>
        <sz val="12"/>
        <color rgb="FF5A306B"/>
        <rFont val="Verdana"/>
        <family val="2"/>
      </rPr>
      <t>14</t>
    </r>
    <r>
      <rPr>
        <b/>
        <vertAlign val="superscript"/>
        <sz val="12"/>
        <color rgb="FF333333"/>
        <rFont val="Arial"/>
        <family val="2"/>
      </rPr>
      <t>, </t>
    </r>
    <r>
      <rPr>
        <b/>
        <vertAlign val="superscript"/>
        <sz val="12"/>
        <color rgb="FF5A306B"/>
        <rFont val="Verdana"/>
        <family val="2"/>
      </rPr>
      <t>15</t>
    </r>
    <r>
      <rPr>
        <b/>
        <vertAlign val="superscript"/>
        <sz val="12"/>
        <color rgb="FF333333"/>
        <rFont val="Arial"/>
        <family val="2"/>
      </rPr>
      <t>, </t>
    </r>
    <r>
      <rPr>
        <b/>
        <vertAlign val="superscript"/>
        <sz val="12"/>
        <color rgb="FF5A306B"/>
        <rFont val="Verdana"/>
        <family val="2"/>
      </rPr>
      <t>16</t>
    </r>
    <r>
      <rPr>
        <b/>
        <vertAlign val="superscript"/>
        <sz val="12"/>
        <color rgb="FF333333"/>
        <rFont val="Arial"/>
        <family val="2"/>
      </rPr>
      <t>, </t>
    </r>
    <r>
      <rPr>
        <b/>
        <vertAlign val="superscript"/>
        <sz val="12"/>
        <color rgb="FF5A306B"/>
        <rFont val="Verdana"/>
        <family val="2"/>
      </rPr>
      <t>17</t>
    </r>
    <r>
      <rPr>
        <b/>
        <vertAlign val="superscript"/>
        <sz val="12"/>
        <color rgb="FF333333"/>
        <rFont val="Arial"/>
        <family val="2"/>
      </rPr>
      <t>, </t>
    </r>
    <r>
      <rPr>
        <b/>
        <vertAlign val="superscript"/>
        <sz val="12"/>
        <color rgb="FF5A306B"/>
        <rFont val="Verdana"/>
        <family val="2"/>
      </rPr>
      <t>18</t>
    </r>
    <r>
      <rPr>
        <b/>
        <vertAlign val="superscript"/>
        <sz val="12"/>
        <color rgb="FF333333"/>
        <rFont val="Arial"/>
        <family val="2"/>
      </rPr>
      <t>, </t>
    </r>
    <r>
      <rPr>
        <b/>
        <vertAlign val="superscript"/>
        <sz val="12"/>
        <color rgb="FF5A306B"/>
        <rFont val="Verdana"/>
        <family val="2"/>
      </rPr>
      <t>19</t>
    </r>
    <r>
      <rPr>
        <b/>
        <sz val="15"/>
        <color rgb="FF333333"/>
        <rFont val="Arial"/>
        <family val="2"/>
      </rPr>
      <t> </t>
    </r>
  </si>
  <si>
    <t>Average weekly earnings (SEPH), by type of employee for selected industries classified using the North American Industry Classification System (NAICS)</t>
  </si>
  <si>
    <t>Average weekly earnings (SEPH), including overtime, seasonally adjusted, for all employees, by selected industries classified using the North American Industry Classification System (NAICS), *Terminated*</t>
  </si>
  <si>
    <t>annual (current dollars)</t>
  </si>
  <si>
    <t>monthly (current dollars)</t>
  </si>
  <si>
    <t>Type of employees = All employees</t>
  </si>
  <si>
    <t>Overtime = Including overtime</t>
  </si>
  <si>
    <r>
      <t>Industrial aggregate excluding unclassified businesses [11-91N]</t>
    </r>
    <r>
      <rPr>
        <b/>
        <i/>
        <vertAlign val="superscript"/>
        <sz val="8"/>
        <color rgb="FF222222"/>
        <rFont val="Verdana"/>
        <family val="2"/>
      </rPr>
      <t> </t>
    </r>
    <r>
      <rPr>
        <b/>
        <i/>
        <vertAlign val="superscript"/>
        <sz val="8"/>
        <color rgb="FF5A306B"/>
        <rFont val="Verdana"/>
        <family val="2"/>
      </rPr>
      <t>5</t>
    </r>
    <r>
      <rPr>
        <b/>
        <i/>
        <vertAlign val="superscript"/>
        <sz val="8"/>
        <color rgb="FF222222"/>
        <rFont val="Verdana"/>
        <family val="2"/>
      </rPr>
      <t>, </t>
    </r>
    <r>
      <rPr>
        <b/>
        <i/>
        <vertAlign val="superscript"/>
        <sz val="8"/>
        <color rgb="FF5A306B"/>
        <rFont val="Verdana"/>
        <family val="2"/>
      </rPr>
      <t>6</t>
    </r>
  </si>
  <si>
    <r>
      <t>Industrial aggregate excluding unclassified businesses [11-91N]</t>
    </r>
    <r>
      <rPr>
        <b/>
        <i/>
        <vertAlign val="superscript"/>
        <sz val="8"/>
        <color rgb="FF222222"/>
        <rFont val="Verdana"/>
        <family val="2"/>
      </rPr>
      <t> </t>
    </r>
    <r>
      <rPr>
        <b/>
        <i/>
        <vertAlign val="superscript"/>
        <sz val="8"/>
        <color rgb="FF5A306B"/>
        <rFont val="Verdana"/>
        <family val="2"/>
      </rPr>
      <t>4</t>
    </r>
    <r>
      <rPr>
        <b/>
        <i/>
        <vertAlign val="superscript"/>
        <sz val="8"/>
        <color rgb="FF222222"/>
        <rFont val="Verdana"/>
        <family val="2"/>
      </rPr>
      <t>, </t>
    </r>
    <r>
      <rPr>
        <b/>
        <i/>
        <vertAlign val="superscript"/>
        <sz val="8"/>
        <color rgb="FF5A306B"/>
        <rFont val="Verdana"/>
        <family val="2"/>
      </rPr>
      <t>5</t>
    </r>
  </si>
  <si>
    <t>orig</t>
  </si>
  <si>
    <t>Utilities [22, 221]</t>
  </si>
  <si>
    <t>Utilities [22]</t>
  </si>
  <si>
    <t>NAICS [18]</t>
  </si>
  <si>
    <r>
      <t>Industrial aggregate excluding unclassified businesses [11-91N]</t>
    </r>
    <r>
      <rPr>
        <b/>
        <vertAlign val="superscript"/>
        <sz val="8"/>
        <color rgb="FF222222"/>
        <rFont val="Verdana"/>
        <family val="2"/>
      </rPr>
      <t> </t>
    </r>
    <r>
      <rPr>
        <b/>
        <vertAlign val="superscript"/>
        <sz val="8"/>
        <color rgb="FF5A306B"/>
        <rFont val="Verdana"/>
        <family val="2"/>
      </rPr>
      <t>5</t>
    </r>
    <r>
      <rPr>
        <b/>
        <vertAlign val="superscript"/>
        <sz val="8"/>
        <color rgb="FF222222"/>
        <rFont val="Verdana"/>
        <family val="2"/>
      </rPr>
      <t>, </t>
    </r>
    <r>
      <rPr>
        <b/>
        <vertAlign val="superscript"/>
        <sz val="8"/>
        <color rgb="FF5A306B"/>
        <rFont val="Verdana"/>
        <family val="2"/>
      </rPr>
      <t>6</t>
    </r>
  </si>
  <si>
    <r>
      <t>Utilities [</t>
    </r>
    <r>
      <rPr>
        <b/>
        <sz val="10"/>
        <color rgb="FF5A306B"/>
        <rFont val="Verdana"/>
        <family val="2"/>
      </rPr>
      <t>22</t>
    </r>
    <r>
      <rPr>
        <b/>
        <sz val="10"/>
        <color rgb="FF222222"/>
        <rFont val="Verdana"/>
        <family val="2"/>
      </rPr>
      <t>, </t>
    </r>
    <r>
      <rPr>
        <b/>
        <sz val="10"/>
        <color rgb="FF5A306B"/>
        <rFont val="Verdana"/>
        <family val="2"/>
      </rPr>
      <t>221</t>
    </r>
    <r>
      <rPr>
        <b/>
        <sz val="10"/>
        <color rgb="FF222222"/>
        <rFont val="Verdana"/>
        <family val="2"/>
      </rPr>
      <t>]</t>
    </r>
  </si>
  <si>
    <r>
      <t>Industrial aggregate excluding unclassified businesses [11-91N]</t>
    </r>
    <r>
      <rPr>
        <b/>
        <vertAlign val="superscript"/>
        <sz val="8"/>
        <color rgb="FF222222"/>
        <rFont val="Verdana"/>
        <family val="2"/>
      </rPr>
      <t> 4, 5</t>
    </r>
  </si>
  <si>
    <r>
      <t>Utilities [</t>
    </r>
    <r>
      <rPr>
        <b/>
        <sz val="10"/>
        <color rgb="FF5A306B"/>
        <rFont val="Verdana"/>
        <family val="2"/>
      </rPr>
      <t>22</t>
    </r>
    <r>
      <rPr>
        <b/>
        <sz val="10"/>
        <color rgb="FF222222"/>
        <rFont val="Verdana"/>
        <family val="2"/>
      </rPr>
      <t>]</t>
    </r>
  </si>
  <si>
    <t>Footnotes:</t>
  </si>
  <si>
    <t>Although the creation of Nunavut officially took place in April 1999, the Survey of employment, payrolls and hours (SEPH) was only able to begin publishing separate estimates for Northwest Territories and Nunavut with the release of the January 2001 data. Efforts were undertaken to estimate the employment for Nunavut back to April 1999. These are available upon request by contacting Client Services at 1-866-873-8788 (toll-free) or 613-951-4090 (labour@statcan.gc.ca).</t>
  </si>
  <si>
    <t xml:space="preserve"> </t>
  </si>
  <si>
    <t>Industrial aggregate covers all industrial sectors except those primarily involved in agriculture, fishing and trapping, private household services, religious organisations and the military personnel of the defence services.</t>
  </si>
  <si>
    <t>Since January 2001, the Survey of employment, payrolls and hours (SEPH) program no longer combines Northwest Territories and Nunavut. They are produced as two separate territories.</t>
  </si>
  <si>
    <t>Le regroupement « ensemble des industries » comprend tous les secteurs industriels sauf ceux dont les activités relèvent des secteurs de l'agriculture, de la pêche et du piégeage, des services domestiques aux ménages privés, des organismes religieux et du personnel militaire des services de la défense.</t>
  </si>
  <si>
    <t>These terminated series are based on the North American Industry Classification System (NAICS) 2002.</t>
  </si>
  <si>
    <t>Unclassified businesses (00) are business for which the industrial classification (North American Industry Classification System (NAICS) 2012) has yet to be determined.</t>
  </si>
  <si>
    <t>Data quality indicators are based on the coefficient of variation (CV). Quality indicators indicate the following: A - Excellent (CV from 0% to 4.99%); B - Very good (CV from 5% to 9.99%); C - Good (CV from 10% to 14.99%); D - Acceptable (CV from 15% to 24.99%); E - Use with caution (CV from 25% to 34.99%); F - Too unreliable to publish (CV greater than or equal to 35% or sample size is too small to produce reliable estimates).</t>
  </si>
  <si>
    <t>Goods producing industries (11-33N) includes the following sectors: forestry, logging and support (11N), mining, quarrying, and oil and gas extraction (21), utilities (22), construction (23) and manufacturing (31-33).</t>
  </si>
  <si>
    <t>Forestry, logging and support (11N) includes the following industries: forestry and logging (113) and support activities to forestry (1153).</t>
  </si>
  <si>
    <t>Non-durable goods (311N) of the manufacturing sector includes the following industries: food manufacturing (311), beverage and tobacco products manufacturing (312), textiles mills (313), textile products mills (314), clothing manufacturing (315), leather and allied products manufacturing (316), paper manufacturing (322), printing and related support activities (323), petroleum and coal products manufacturing (324), chemical manufacturing (325) and plastics and rubber products manufacturing (326).</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</si>
  <si>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products manufacturing (337) and miscellaneous manufacturing (339).</t>
  </si>
  <si>
    <t>Service producing industries (41-91N) includes the following industries: trade (41-45N), transportation and warehousing (48-49), information and cultural industries (51), finance and insurance (52), real estate and rental and leasing (53), professional, scientific and technical services (54), management of companies and enterprises (55), administrative and support, waste management and remediation services (56), educational services (61), health care and social assistance (62), arts, entertainment and recreation (71), accommodation and food services (72), other services (except public administration) (81) and public administration (91).</t>
  </si>
  <si>
    <t>Trade (41-45N) industry includes the following sectors: wholesale (41) and retail trade (44-45).</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</si>
  <si>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 manufacturing (337) and miscellaneous manufacturing (339).</t>
  </si>
  <si>
    <t>Source: Labour Statistics Division, Statistics Canada</t>
  </si>
  <si>
    <t>Some series exhibit no clear seasonal pattern. In such cases the data are not adjusted.</t>
  </si>
  <si>
    <t>The introduction of administrative data in 2001 and the associated change in methodology resulted in level shifts for some series. This affects the comparability of pre- and post-2001 estimates.</t>
  </si>
  <si>
    <t>Education special (611N) industry includes the following industries: elementary and secondary schools (6111), community colleges and CEGEP (6112), universities (6113), business schools and computer management training (6114) and technical and trade schools (6115).</t>
  </si>
  <si>
    <t>Estimates for the latest reference month are preliminary.</t>
  </si>
  <si>
    <t>Earnings data are based on gross payroll before source deductions.</t>
  </si>
  <si>
    <t>Average weekly earnings for the industrial aggregate, excluding unclassified businesses [11-91N] in Alberta; and service producing industries [41-91N] in Alberta as well as trade [41-45N] in Quebec for February 2004, 2008 and 2012 have been corrected.</t>
  </si>
  <si>
    <t>Industry estimates in this table are based on the 2012 North American Industry Classification System (NAICS).</t>
  </si>
  <si>
    <t>These terminated series are based on the North American Industry Classification System (NAICS) 2007.</t>
  </si>
  <si>
    <t>Table 281-0028 has been terminated. For more recent estimates, please see table 281-0063.</t>
  </si>
  <si>
    <r>
      <t>Source:</t>
    </r>
    <r>
      <rPr>
        <sz val="10"/>
        <color rgb="FF000000"/>
        <rFont val="Verdana"/>
        <family val="2"/>
      </rPr>
      <t>  Statistics Canada. </t>
    </r>
    <r>
      <rPr>
        <i/>
        <sz val="10"/>
        <color rgb="FF000000"/>
        <rFont val="Verdana"/>
        <family val="2"/>
      </rPr>
      <t>Table  281-0027 -  Average weekly earnings (SEPH), by type of employee for selected industries classified using the North American Industry Classification System (NAICS), annual (current dollars), </t>
    </r>
    <r>
      <rPr>
        <sz val="10"/>
        <color rgb="FF000000"/>
        <rFont val="Verdana"/>
        <family val="2"/>
      </rPr>
      <t> CANSIM (database). (accessed: 2014-02-26) </t>
    </r>
  </si>
  <si>
    <r>
      <t>Source:</t>
    </r>
    <r>
      <rPr>
        <sz val="10"/>
        <color rgb="FF000000"/>
        <rFont val="Verdana"/>
        <family val="2"/>
      </rPr>
      <t>  Statistics Canada. </t>
    </r>
    <r>
      <rPr>
        <i/>
        <sz val="10"/>
        <color rgb="FF000000"/>
        <rFont val="Verdana"/>
        <family val="2"/>
      </rPr>
      <t>Table  281-0028 -  Average weekly earnings (SEPH), including overtime, seasonally adjusted, for all employees, by selected industries classified using the North American Industry Classification System (NAICS), monthly (current dollars), </t>
    </r>
    <r>
      <rPr>
        <sz val="10"/>
        <color rgb="FF000000"/>
        <rFont val="Verdana"/>
        <family val="2"/>
      </rPr>
      <t> CANSIM (database). (accessed: 2014-02-26) </t>
    </r>
  </si>
  <si>
    <r>
      <t>Table</t>
    </r>
    <r>
      <rPr>
        <b/>
        <sz val="15"/>
        <color rgb="FF333333"/>
        <rFont val="Arial"/>
        <family val="2"/>
      </rPr>
      <t> </t>
    </r>
    <r>
      <rPr>
        <b/>
        <sz val="12"/>
        <color rgb="FF333333"/>
        <rFont val="Arial"/>
        <family val="2"/>
      </rPr>
      <t>384-0039</t>
    </r>
    <r>
      <rPr>
        <b/>
        <vertAlign val="superscript"/>
        <sz val="12"/>
        <color rgb="FF333333"/>
        <rFont val="Arial"/>
        <family val="2"/>
      </rPr>
      <t> </t>
    </r>
    <r>
      <rPr>
        <b/>
        <vertAlign val="superscript"/>
        <sz val="12"/>
        <color rgb="FF5A306B"/>
        <rFont val="Verdana"/>
        <family val="2"/>
      </rPr>
      <t>4</t>
    </r>
    <r>
      <rPr>
        <b/>
        <sz val="15"/>
        <color rgb="FF333333"/>
        <rFont val="Arial"/>
        <family val="2"/>
      </rPr>
      <t> </t>
    </r>
  </si>
  <si>
    <t>Implicit price indexes, gross domestic product, provincial and territorial</t>
  </si>
  <si>
    <t>annual (2007=100)</t>
  </si>
  <si>
    <t>Geography = Canada 1 </t>
  </si>
  <si>
    <t>Index = Implicit price indexes</t>
  </si>
  <si>
    <t>Estimates = Final domestic demand</t>
  </si>
  <si>
    <t>AVERAGE</t>
  </si>
  <si>
    <t>TFP Index</t>
  </si>
  <si>
    <t>Mod_ID</t>
  </si>
  <si>
    <t>Is it in the modeling? 1 = yes; 0 = no</t>
  </si>
  <si>
    <t>Labour Price Index</t>
  </si>
  <si>
    <t>Average</t>
  </si>
  <si>
    <t>Non-Labour Price Index</t>
  </si>
  <si>
    <t>I Price Index</t>
  </si>
  <si>
    <t>Quantity Sub-indexes Growth rates</t>
  </si>
  <si>
    <t>Industries</t>
  </si>
  <si>
    <t>Utilities</t>
  </si>
  <si>
    <t>(Ind) Labour Price Index</t>
  </si>
  <si>
    <t>I and O shares</t>
  </si>
  <si>
    <t>(Implicit) Price Indexes Growth Rates</t>
  </si>
  <si>
    <t>OPG Hydro Total</t>
  </si>
  <si>
    <t xml:space="preserve">OPG Hydro Group: </t>
  </si>
  <si>
    <t>O&amp;M Price Index</t>
  </si>
  <si>
    <t>O&amp;M Price Index Growth</t>
  </si>
  <si>
    <t>Accessed on April 30, 2014</t>
  </si>
  <si>
    <t>Geography = Ontario</t>
  </si>
  <si>
    <t>Canada</t>
  </si>
  <si>
    <t>Ontario</t>
  </si>
  <si>
    <t>Average TFP growth rate 
(2002-2012)</t>
  </si>
  <si>
    <t>Average (across same output specifications)</t>
  </si>
  <si>
    <t>Total O&amp;M and Capital vs MWh</t>
  </si>
  <si>
    <t>Average (across same input specifications)</t>
  </si>
  <si>
    <t>Total O&amp;M and Capital vs 75% MWh and 25% (InverseEFORindexgr)</t>
  </si>
  <si>
    <t>Total O&amp;M and Capital vs 50% MWh and 50% (InverseEFORindexgr)</t>
  </si>
  <si>
    <t>Total O&amp;M and Capital vs 25% MWh and 75% (InverseEFORindexgr)</t>
  </si>
  <si>
    <t>Total O&amp;M and Capital vs (InverseEFORindexgr)</t>
  </si>
  <si>
    <t>PacifiCorp</t>
  </si>
  <si>
    <t>PG&amp;E</t>
  </si>
  <si>
    <t>Duke</t>
  </si>
  <si>
    <t>PACIFIC GAS AND ELECTRIC COMPANY</t>
  </si>
  <si>
    <t>Duke Energy Carolinas, LLC</t>
  </si>
  <si>
    <t>VIRGINIA ELECTRIC AND POWER COMPANY</t>
  </si>
  <si>
    <t>Idaho Power Company</t>
  </si>
  <si>
    <t>ALABAMA POWER COMPANY</t>
  </si>
  <si>
    <t>Southern California Edison Company</t>
  </si>
  <si>
    <t>Georgia Power Company</t>
  </si>
  <si>
    <t>Avista Corporation</t>
  </si>
  <si>
    <t>Portland General Electric Company</t>
  </si>
  <si>
    <t>UNION ELECTRIC COMPANY</t>
  </si>
  <si>
    <t>Appalachian Power Company</t>
  </si>
  <si>
    <t>South Carolina Electric &amp; Gas Company</t>
  </si>
  <si>
    <t>Alcoa Power Generating Inc.</t>
  </si>
  <si>
    <t>Short name</t>
  </si>
  <si>
    <t>VA Electric</t>
  </si>
  <si>
    <t>ID Power</t>
  </si>
  <si>
    <t>AB Power</t>
  </si>
  <si>
    <t>SoCal Edison</t>
  </si>
  <si>
    <t>GA Power</t>
  </si>
  <si>
    <t>Avista</t>
  </si>
  <si>
    <t>Portland</t>
  </si>
  <si>
    <t>Ameren MI - Union</t>
  </si>
  <si>
    <t>Full utility name</t>
  </si>
  <si>
    <t>SCE&amp;G</t>
  </si>
  <si>
    <t>Alcoa</t>
  </si>
  <si>
    <t>AP Power</t>
  </si>
  <si>
    <t>Peer Industry</t>
  </si>
  <si>
    <t>OPG Hydro Peer Industry Total</t>
  </si>
  <si>
    <t>OPG data only (data from OPG)</t>
  </si>
  <si>
    <t>Labor OM&amp;A share combined</t>
  </si>
  <si>
    <t>Other OM&amp;A share combined</t>
  </si>
  <si>
    <t>EUCG data (industry)</t>
  </si>
  <si>
    <t>Labour Share based on 
Total OM&amp;A (Operations+Maintenance+Environment &amp; Regulatory+Land &amp; Water Rental Fees + Administration)</t>
  </si>
  <si>
    <t>Labour Share based on OM&amp;A, less Water Rentals/Fees  and Indirect Admin</t>
  </si>
  <si>
    <t>Labour Share based on O&amp;M</t>
  </si>
  <si>
    <t>O&amp;M_total</t>
  </si>
  <si>
    <t>Non-labour_O&amp;M</t>
  </si>
  <si>
    <t>Labour_O&amp;M</t>
  </si>
  <si>
    <t>O&amp;M Share</t>
  </si>
  <si>
    <t>Labour O&amp;M Share</t>
  </si>
  <si>
    <t>Non-labour O&amp;M Share</t>
  </si>
  <si>
    <t>Capacity Factor</t>
  </si>
  <si>
    <t>O&amp;M price index</t>
  </si>
  <si>
    <t>Sub-index</t>
  </si>
  <si>
    <t>unit</t>
  </si>
  <si>
    <t>(Ontario) 
Average Weekly Earnings, Industrial</t>
  </si>
  <si>
    <t>(Ontario)
Industrial Labour Index Growth</t>
  </si>
  <si>
    <t>(Ontario)
Average Weekly Earnings, Utilities</t>
  </si>
  <si>
    <t>(Ontario) 
Utilities Labour Index Growth</t>
  </si>
  <si>
    <t>(Canada) 
GDP-IPI FDD</t>
  </si>
  <si>
    <t>(Canada)
GDP-IPI FDD Growth</t>
  </si>
  <si>
    <t>On+Can</t>
  </si>
  <si>
    <t>Note: Indices are for United States</t>
  </si>
  <si>
    <t>USA</t>
  </si>
  <si>
    <t>Qtr1</t>
  </si>
  <si>
    <t>Qtr2</t>
  </si>
  <si>
    <t>Qtr3</t>
  </si>
  <si>
    <t>Qtr4</t>
  </si>
  <si>
    <t>Annual</t>
  </si>
  <si>
    <t>(USA)
Employment Cost Index, Utilities</t>
  </si>
  <si>
    <t>(USA)
Labour Index Growth</t>
  </si>
  <si>
    <t>(USA)
GDP Price Index</t>
  </si>
  <si>
    <t>(USA)
GDP-PI Growth</t>
  </si>
  <si>
    <t>Table 1.1.9. Implicit Price Deflators for Gross Domestic Product</t>
  </si>
  <si>
    <t>[Index numbers, 2009=100]</t>
  </si>
  <si>
    <t>Bureau of Economic Analysis</t>
  </si>
  <si>
    <t>Last Revised on: April 30, 2014 - Next Release Date May 29, 2014</t>
  </si>
  <si>
    <t>accessed on May 22, 2014</t>
  </si>
  <si>
    <t xml:space="preserve">source: </t>
  </si>
  <si>
    <t>http://www.bea.gov/iTable/iTable.cfm?ReqID=9&amp;step=1#reqid=9&amp;step=3&amp;isuri=1&amp;910=x&amp;911=0&amp;903=13&amp;904=2000&amp;905=2013&amp;906=a</t>
  </si>
  <si>
    <t>2000</t>
  </si>
  <si>
    <t>2001</t>
  </si>
  <si>
    <t>2002</t>
  </si>
  <si>
    <t>2003</t>
  </si>
  <si>
    <t>2004</t>
  </si>
  <si>
    <t>2005</t>
  </si>
  <si>
    <t>2006</t>
  </si>
  <si>
    <t>2007</t>
  </si>
  <si>
    <t>2008</t>
  </si>
  <si>
    <t>2009</t>
  </si>
  <si>
    <t>2010</t>
  </si>
  <si>
    <t>2011</t>
  </si>
  <si>
    <t>2012</t>
  </si>
  <si>
    <t>2013</t>
  </si>
  <si>
    <t>GDP-PI</t>
  </si>
  <si>
    <t>Note: combined index for North America (based on O&amp;M share)</t>
  </si>
  <si>
    <t>O&amp;M share of Canada</t>
  </si>
  <si>
    <t>O&amp;M share of US</t>
  </si>
  <si>
    <t>O&amp;M industry share</t>
  </si>
  <si>
    <t>CA</t>
  </si>
  <si>
    <t>US</t>
  </si>
  <si>
    <t>NA</t>
  </si>
  <si>
    <t>O&amp;M</t>
  </si>
  <si>
    <t>Model specifications for OPG only</t>
  </si>
  <si>
    <t>Model specifications for OPG hydro FF1 peers</t>
  </si>
  <si>
    <t>Hydroelectric Operations business</t>
  </si>
  <si>
    <t>Input index growth</t>
  </si>
  <si>
    <t>Output index growth</t>
  </si>
  <si>
    <t>TFP index Growth</t>
  </si>
  <si>
    <t>CA/US O&amp;M share</t>
  </si>
  <si>
    <t>EUCG L shares</t>
  </si>
  <si>
    <t>O&amp;M price index growth</t>
  </si>
  <si>
    <t>SEPA</t>
  </si>
  <si>
    <t>Southeastern Power Administration</t>
  </si>
  <si>
    <t>Seattle</t>
  </si>
  <si>
    <t>Seattle City Light</t>
  </si>
  <si>
    <t>Peer Industry less OPG</t>
  </si>
  <si>
    <t>Peer Industry Total (without OPG)</t>
  </si>
  <si>
    <t>2002-2003</t>
  </si>
  <si>
    <t>2003-2004</t>
  </si>
  <si>
    <t>2004-2005</t>
  </si>
  <si>
    <t>2005-2006</t>
  </si>
  <si>
    <t>2006-2007</t>
  </si>
  <si>
    <t>2007-2008</t>
  </si>
  <si>
    <t>2008-2009</t>
  </si>
  <si>
    <t>2009-2010</t>
  </si>
  <si>
    <t>2010-2011</t>
  </si>
  <si>
    <t>2011-2012</t>
  </si>
  <si>
    <t>O&amp;M Price Index Growth Rates</t>
  </si>
  <si>
    <t>O&amp;M Price Index Growth Rates (%)</t>
  </si>
  <si>
    <t>Labour Price Index Growth</t>
  </si>
  <si>
    <t>Non-Labour Price Index Growth</t>
  </si>
  <si>
    <t xml:space="preserve">O&amp;M Price Index </t>
  </si>
  <si>
    <t>Calculating NA L/NL/O&amp;M growths</t>
  </si>
  <si>
    <t>Average GR</t>
  </si>
  <si>
    <t>Prepared by:</t>
  </si>
  <si>
    <t>London Economics International LLC</t>
  </si>
  <si>
    <t>Prepared for:</t>
  </si>
  <si>
    <t>Ontario Power Generation</t>
  </si>
  <si>
    <t>in support of incentive rate-making for OPG’s prescribed assets</t>
  </si>
  <si>
    <t>Total Factor Productivity in North American Hydroelectric Generation</t>
  </si>
  <si>
    <t>T</t>
  </si>
  <si>
    <t>Natural log of TFP index values</t>
  </si>
  <si>
    <r>
      <rPr>
        <b/>
        <sz val="11"/>
        <color theme="1"/>
        <rFont val="Book Antiqua"/>
        <family val="1"/>
      </rPr>
      <t>Note:</t>
    </r>
    <r>
      <rPr>
        <sz val="11"/>
        <color theme="1"/>
        <rFont val="Book Antiqua"/>
        <family val="1"/>
      </rPr>
      <t xml:space="preserve"> Unless otherwise stated, all directions will refer to information contained in the </t>
    </r>
    <r>
      <rPr>
        <b/>
        <sz val="11"/>
        <color theme="1"/>
        <rFont val="Book Antiqua"/>
        <family val="1"/>
      </rPr>
      <t>"TFP_Calcs" worksheet</t>
    </r>
  </si>
  <si>
    <t>The tables illustrate how data from Step 2 is used to calculate the quantity sub-indexes of Input (K), Input (O&amp;M) and Output (MWh), with 2002 as base year</t>
  </si>
  <si>
    <t>Quantity Sub-indexes Growth rates show the growth rates of the quantity sub-index. Average values for all three are highlighted</t>
  </si>
  <si>
    <t>Worksheets:</t>
  </si>
  <si>
    <r>
      <rPr>
        <b/>
        <sz val="11"/>
        <rFont val="Book Antiqua"/>
        <family val="1"/>
      </rPr>
      <t xml:space="preserve">TFP_Calcs: </t>
    </r>
    <r>
      <rPr>
        <sz val="11"/>
        <rFont val="Book Antiqua"/>
        <family val="1"/>
      </rPr>
      <t>Contains the model, provides the method of calculating TFP Index growth</t>
    </r>
  </si>
  <si>
    <r>
      <rPr>
        <b/>
        <sz val="11"/>
        <rFont val="Book Antiqua"/>
        <family val="1"/>
      </rPr>
      <t xml:space="preserve">OPG hydro peers: </t>
    </r>
    <r>
      <rPr>
        <sz val="11"/>
        <rFont val="Book Antiqua"/>
        <family val="1"/>
      </rPr>
      <t>Contains list of all peers and locations (CA or US)</t>
    </r>
  </si>
  <si>
    <r>
      <rPr>
        <b/>
        <sz val="11"/>
        <rFont val="Book Antiqua"/>
        <family val="1"/>
      </rPr>
      <t xml:space="preserve">EUCG L Share: </t>
    </r>
    <r>
      <rPr>
        <sz val="11"/>
        <rFont val="Book Antiqua"/>
        <family val="1"/>
      </rPr>
      <t>Provides industry level labour share of Operations and Maintenance, based on EUCG data</t>
    </r>
  </si>
  <si>
    <t>Step 1: Select peers from dropdown in cell C2 (note TFP results for both methods are visible in cells G2 and J2 respectively)</t>
  </si>
  <si>
    <t>Step 2: Prepare data, including capacity, O&amp;M, net generation, and O&amp;M price index</t>
  </si>
  <si>
    <r>
      <t xml:space="preserve">Step 3: Calculate </t>
    </r>
    <r>
      <rPr>
        <b/>
        <u/>
        <sz val="10"/>
        <color theme="1"/>
        <rFont val="Book Antiqua"/>
        <family val="1"/>
      </rPr>
      <t>quantity</t>
    </r>
    <r>
      <rPr>
        <b/>
        <sz val="10"/>
        <color theme="1"/>
        <rFont val="Book Antiqua"/>
        <family val="1"/>
      </rPr>
      <t xml:space="preserve"> sub-indexes and sub index growth rates</t>
    </r>
  </si>
  <si>
    <r>
      <t xml:space="preserve">Step 4: Calculate </t>
    </r>
    <r>
      <rPr>
        <b/>
        <u/>
        <sz val="10"/>
        <color theme="1"/>
        <rFont val="Book Antiqua"/>
        <family val="1"/>
      </rPr>
      <t>implicit</t>
    </r>
    <r>
      <rPr>
        <b/>
        <sz val="10"/>
        <color theme="1"/>
        <rFont val="Book Antiqua"/>
        <family val="1"/>
      </rPr>
      <t xml:space="preserve"> price indexes and sub index growth rates</t>
    </r>
  </si>
  <si>
    <t>Step 6: Calculate the Laspeyres, Paasche, and Fisher Ideal total Input, total Output, and Total Factor Productivity Indexes</t>
  </si>
  <si>
    <t xml:space="preserve">Step 5: Calculate the year over year changes to Laspeyres, Paasche, and Fisher total Input and total Output Indexes </t>
  </si>
  <si>
    <t>A) Average growth method of measuring TFP</t>
  </si>
  <si>
    <t>B) Trend regression method of measuring TFP</t>
  </si>
  <si>
    <t>Step 7: Calculate TFP growth rates using 'average growth' and 'trend regression' methods</t>
  </si>
  <si>
    <t>Gross domestic product</t>
  </si>
  <si>
    <t>WAPA</t>
  </si>
  <si>
    <t>Western Area Power Administration</t>
  </si>
  <si>
    <t>average 2002-2014</t>
  </si>
  <si>
    <t>2014</t>
  </si>
  <si>
    <t>http://data.bls.gov/timeseries/CIU2024400000000I</t>
  </si>
  <si>
    <t>Employment Cost Index</t>
  </si>
  <si>
    <t>Original Data Value</t>
  </si>
  <si>
    <t>Series Id:</t>
  </si>
  <si>
    <t>CIU2024400000000I</t>
  </si>
  <si>
    <t>Series Title:</t>
  </si>
  <si>
    <t>Wages and salaries for Private industry workers in Utilities, Index</t>
  </si>
  <si>
    <t>Ownership:</t>
  </si>
  <si>
    <t>Private industry workers</t>
  </si>
  <si>
    <t>Component:</t>
  </si>
  <si>
    <t>Wages and salaries</t>
  </si>
  <si>
    <t>Occupation:</t>
  </si>
  <si>
    <t>All workers</t>
  </si>
  <si>
    <t>Industry:</t>
  </si>
  <si>
    <t>Subcategory:</t>
  </si>
  <si>
    <t>Area:</t>
  </si>
  <si>
    <t>United States (National)</t>
  </si>
  <si>
    <t>Periodicity:</t>
  </si>
  <si>
    <t>Index number</t>
  </si>
  <si>
    <t>Years:</t>
  </si>
  <si>
    <t>2001 to 2015</t>
  </si>
  <si>
    <t>Source:</t>
  </si>
  <si>
    <t>2012-2013</t>
  </si>
  <si>
    <t>2013-2014</t>
  </si>
  <si>
    <t>Average TFP growth (2002-2014)</t>
  </si>
  <si>
    <t>TFP trend growth rate (2002-2014):</t>
  </si>
  <si>
    <t>Accessed on January 5, 2016</t>
  </si>
  <si>
    <r>
      <t>TFP_dataset:</t>
    </r>
    <r>
      <rPr>
        <sz val="11"/>
        <rFont val="Book Antiqua"/>
        <family val="1"/>
      </rPr>
      <t xml:space="preserve"> Contains all the data relevant to OPG and 17 peers</t>
    </r>
  </si>
  <si>
    <t>Step 3: Calculate quantity sub-indexes and sub-index growth rates (Row 23-38):</t>
  </si>
  <si>
    <r>
      <t xml:space="preserve">Step 4: Calculate implicit price indexes and sub-index growth rates (Row 42-57): </t>
    </r>
    <r>
      <rPr>
        <sz val="11"/>
        <color theme="1"/>
        <rFont val="Book Antiqua"/>
        <family val="1"/>
      </rPr>
      <t>This is an implicit calculation step necessary for the calculation of the combined input and output indices</t>
    </r>
  </si>
  <si>
    <t>Step 5: Calculate the year over year changes to Laspeyres, Paasche, and Fisher total Input and total Output indices (Row 61-76)</t>
  </si>
  <si>
    <t>Step 6: Calculate the Laspeyres, Paasche, and Fisher Ideal total Input, total Output, and Total Factor Productivity Indexes (Row 79-94)</t>
  </si>
  <si>
    <t>Julia Frayer, Ian Chow, Barbara Porto, and Jarome Leslie</t>
  </si>
  <si>
    <t>Natural log of TFP input values</t>
  </si>
  <si>
    <t>TFP input index (2002-2014):</t>
  </si>
  <si>
    <t>Natural log of TFP output values</t>
  </si>
  <si>
    <t>TFP output index (2002-2014):</t>
  </si>
  <si>
    <r>
      <rPr>
        <b/>
        <sz val="11"/>
        <rFont val="Book Antiqua"/>
        <family val="1"/>
      </rPr>
      <t>StatsCan CANSIM tables:</t>
    </r>
    <r>
      <rPr>
        <sz val="11"/>
        <rFont val="Book Antiqua"/>
        <family val="1"/>
      </rPr>
      <t xml:space="preserve"> Provides the StatsCan data that is used in the 'Canadian O&amp;M price indexes' worksheet</t>
    </r>
  </si>
  <si>
    <r>
      <t xml:space="preserve">US BLS &amp; BEA tables: </t>
    </r>
    <r>
      <rPr>
        <sz val="11"/>
        <rFont val="Book Antiqua"/>
        <family val="1"/>
      </rPr>
      <t>Provides the Bureau of Labour Statistics and the Bureau of Economic Analysis data used in the US O&amp;M price indexes worksheet</t>
    </r>
  </si>
  <si>
    <r>
      <rPr>
        <b/>
        <sz val="11"/>
        <rFont val="Book Antiqua"/>
        <family val="1"/>
      </rPr>
      <t xml:space="preserve">Can O&amp;M price indexes: </t>
    </r>
    <r>
      <rPr>
        <sz val="11"/>
        <rFont val="Book Antiqua"/>
        <family val="1"/>
      </rPr>
      <t>Provides 2002-2014 price indexes for Canada</t>
    </r>
  </si>
  <si>
    <r>
      <rPr>
        <b/>
        <sz val="11"/>
        <rFont val="Book Antiqua"/>
        <family val="1"/>
      </rPr>
      <t>US O&amp;M price indexes:</t>
    </r>
    <r>
      <rPr>
        <sz val="11"/>
        <rFont val="Book Antiqua"/>
        <family val="1"/>
      </rPr>
      <t xml:space="preserve"> Provides 2002-2014 price indexes for U.S.</t>
    </r>
  </si>
  <si>
    <r>
      <t xml:space="preserve">NA comb O&amp;M price indexes: </t>
    </r>
    <r>
      <rPr>
        <sz val="11"/>
        <rFont val="Book Antiqua"/>
        <family val="1"/>
      </rPr>
      <t>Provides 2002-2014 price indexes for peer group by combining Canadian and US prices indexes</t>
    </r>
  </si>
  <si>
    <r>
      <t>Source:</t>
    </r>
    <r>
      <rPr>
        <sz val="10"/>
        <color rgb="FF000000"/>
        <rFont val="Verdana"/>
        <family val="2"/>
      </rPr>
      <t>  Statistics Canada. </t>
    </r>
    <r>
      <rPr>
        <i/>
        <sz val="10"/>
        <color rgb="FF000000"/>
        <rFont val="Verdana"/>
        <family val="2"/>
      </rPr>
      <t>Table  384-0039 -  Implicit price indexes, gross domestic product, provincial and territorial, annual (2007=100 unless otherwise noted), </t>
    </r>
    <r>
      <rPr>
        <sz val="10"/>
        <color rgb="FF000000"/>
        <rFont val="Verdana"/>
        <family val="2"/>
      </rPr>
      <t> CANSIM (database). (accessed: 2014-02-26) </t>
    </r>
  </si>
  <si>
    <t>Canada totals in the provincial and territorial gross domestic product by income and by expenditure accounts (PTEA) do not correspond to the national gross domestic product by income and by expenditure accounts (IEA) estimates at certain times of the year. The two accounts are brought back in line when annual revisions are incorporated.</t>
  </si>
  <si>
    <t>Terminated with the 1998 data.</t>
  </si>
  <si>
    <t>Prior to 1999, see Northwest Territories including Nunavut.</t>
  </si>
  <si>
    <r>
      <t>848.85</t>
    </r>
    <r>
      <rPr>
        <vertAlign val="superscript"/>
        <sz val="8"/>
        <color rgb="FF00B050"/>
        <rFont val="Verdana"/>
        <family val="2"/>
      </rPr>
      <t>A</t>
    </r>
  </si>
  <si>
    <r>
      <t>881.43</t>
    </r>
    <r>
      <rPr>
        <vertAlign val="superscript"/>
        <sz val="8"/>
        <color rgb="FF00B050"/>
        <rFont val="Verdana"/>
        <family val="2"/>
      </rPr>
      <t>A</t>
    </r>
  </si>
  <si>
    <r>
      <t>893.41</t>
    </r>
    <r>
      <rPr>
        <vertAlign val="superscript"/>
        <sz val="8"/>
        <color rgb="FF00B050"/>
        <rFont val="Verdana"/>
        <family val="2"/>
      </rPr>
      <t>A</t>
    </r>
  </si>
  <si>
    <r>
      <t>906.09</t>
    </r>
    <r>
      <rPr>
        <vertAlign val="superscript"/>
        <sz val="8"/>
        <color rgb="FF00B050"/>
        <rFont val="Verdana"/>
        <family val="2"/>
      </rPr>
      <t>A</t>
    </r>
  </si>
  <si>
    <r>
      <t>920.12</t>
    </r>
    <r>
      <rPr>
        <vertAlign val="superscript"/>
        <sz val="8"/>
        <color rgb="FF00B050"/>
        <rFont val="Verdana"/>
        <family val="2"/>
      </rPr>
      <t>A</t>
    </r>
  </si>
  <si>
    <r>
      <t>938.36</t>
    </r>
    <r>
      <rPr>
        <vertAlign val="superscript"/>
        <sz val="8"/>
        <color rgb="FF00B050"/>
        <rFont val="Verdana"/>
        <family val="2"/>
      </rPr>
      <t>A</t>
    </r>
  </si>
  <si>
    <r>
      <t>1,672.72</t>
    </r>
    <r>
      <rPr>
        <vertAlign val="superscript"/>
        <sz val="8"/>
        <color rgb="FF00B050"/>
        <rFont val="Verdana"/>
        <family val="2"/>
      </rPr>
      <t>A</t>
    </r>
  </si>
  <si>
    <r>
      <t>1,680.01</t>
    </r>
    <r>
      <rPr>
        <vertAlign val="superscript"/>
        <sz val="8"/>
        <color rgb="FF00B050"/>
        <rFont val="Verdana"/>
        <family val="2"/>
      </rPr>
      <t>A</t>
    </r>
  </si>
  <si>
    <r>
      <t>1,714.92</t>
    </r>
    <r>
      <rPr>
        <vertAlign val="superscript"/>
        <sz val="8"/>
        <color rgb="FF00B050"/>
        <rFont val="Verdana"/>
        <family val="2"/>
      </rPr>
      <t>A</t>
    </r>
  </si>
  <si>
    <r>
      <t>1,707.11</t>
    </r>
    <r>
      <rPr>
        <vertAlign val="superscript"/>
        <sz val="8"/>
        <color rgb="FF00B050"/>
        <rFont val="Verdana"/>
        <family val="2"/>
      </rPr>
      <t>A</t>
    </r>
  </si>
  <si>
    <r>
      <t>1,758.79</t>
    </r>
    <r>
      <rPr>
        <vertAlign val="superscript"/>
        <sz val="8"/>
        <color rgb="FF00B050"/>
        <rFont val="Verdana"/>
        <family val="2"/>
      </rPr>
      <t>A</t>
    </r>
  </si>
  <si>
    <r>
      <t>1,915.37</t>
    </r>
    <r>
      <rPr>
        <vertAlign val="superscript"/>
        <sz val="8"/>
        <color rgb="FF00B050"/>
        <rFont val="Verdana"/>
        <family val="2"/>
      </rPr>
      <t>A</t>
    </r>
  </si>
  <si>
    <r>
      <t>560.53</t>
    </r>
    <r>
      <rPr>
        <vertAlign val="superscript"/>
        <sz val="8"/>
        <color rgb="FF00B050"/>
        <rFont val="Verdana"/>
        <family val="2"/>
      </rPr>
      <t>(T)</t>
    </r>
  </si>
  <si>
    <r>
      <t>567.77</t>
    </r>
    <r>
      <rPr>
        <vertAlign val="superscript"/>
        <sz val="8"/>
        <color rgb="FF00B050"/>
        <rFont val="Verdana"/>
        <family val="2"/>
      </rPr>
      <t>(T)</t>
    </r>
  </si>
  <si>
    <r>
      <t>567.83</t>
    </r>
    <r>
      <rPr>
        <vertAlign val="superscript"/>
        <sz val="8"/>
        <color rgb="FF00B050"/>
        <rFont val="Verdana"/>
        <family val="2"/>
      </rPr>
      <t>(T)</t>
    </r>
  </si>
  <si>
    <r>
      <t>570.77</t>
    </r>
    <r>
      <rPr>
        <vertAlign val="superscript"/>
        <sz val="8"/>
        <color rgb="FF00B050"/>
        <rFont val="Verdana"/>
        <family val="2"/>
      </rPr>
      <t>(T)</t>
    </r>
  </si>
  <si>
    <r>
      <t>573.76</t>
    </r>
    <r>
      <rPr>
        <vertAlign val="superscript"/>
        <sz val="8"/>
        <color rgb="FF00B050"/>
        <rFont val="Verdana"/>
        <family val="2"/>
      </rPr>
      <t>(T)</t>
    </r>
  </si>
  <si>
    <r>
      <t>575.57</t>
    </r>
    <r>
      <rPr>
        <vertAlign val="superscript"/>
        <sz val="8"/>
        <color rgb="FF00B050"/>
        <rFont val="Verdana"/>
        <family val="2"/>
      </rPr>
      <t>(T)</t>
    </r>
  </si>
  <si>
    <r>
      <t>576.99</t>
    </r>
    <r>
      <rPr>
        <vertAlign val="superscript"/>
        <sz val="8"/>
        <color rgb="FF00B050"/>
        <rFont val="Verdana"/>
        <family val="2"/>
      </rPr>
      <t>(T)</t>
    </r>
  </si>
  <si>
    <r>
      <t>579.08</t>
    </r>
    <r>
      <rPr>
        <vertAlign val="superscript"/>
        <sz val="8"/>
        <color rgb="FF00B050"/>
        <rFont val="Verdana"/>
        <family val="2"/>
      </rPr>
      <t>(T)</t>
    </r>
  </si>
  <si>
    <r>
      <t>580.44</t>
    </r>
    <r>
      <rPr>
        <vertAlign val="superscript"/>
        <sz val="8"/>
        <color rgb="FF00B050"/>
        <rFont val="Verdana"/>
        <family val="2"/>
      </rPr>
      <t>(T)</t>
    </r>
  </si>
  <si>
    <r>
      <t>584.44</t>
    </r>
    <r>
      <rPr>
        <vertAlign val="superscript"/>
        <sz val="8"/>
        <color rgb="FF00B050"/>
        <rFont val="Verdana"/>
        <family val="2"/>
      </rPr>
      <t>(T)</t>
    </r>
  </si>
  <si>
    <r>
      <t>585.23</t>
    </r>
    <r>
      <rPr>
        <vertAlign val="superscript"/>
        <sz val="8"/>
        <color rgb="FF00B050"/>
        <rFont val="Verdana"/>
        <family val="2"/>
      </rPr>
      <t>(T)</t>
    </r>
  </si>
  <si>
    <r>
      <t>588.43</t>
    </r>
    <r>
      <rPr>
        <vertAlign val="superscript"/>
        <sz val="8"/>
        <color rgb="FF00B050"/>
        <rFont val="Verdana"/>
        <family val="2"/>
      </rPr>
      <t>(T)</t>
    </r>
  </si>
  <si>
    <r>
      <t>589.81</t>
    </r>
    <r>
      <rPr>
        <vertAlign val="superscript"/>
        <sz val="8"/>
        <color rgb="FF00B050"/>
        <rFont val="Verdana"/>
        <family val="2"/>
      </rPr>
      <t>(T)</t>
    </r>
  </si>
  <si>
    <r>
      <t>590.87</t>
    </r>
    <r>
      <rPr>
        <vertAlign val="superscript"/>
        <sz val="8"/>
        <color rgb="FF00B050"/>
        <rFont val="Verdana"/>
        <family val="2"/>
      </rPr>
      <t>(T)</t>
    </r>
  </si>
  <si>
    <r>
      <t>588.05</t>
    </r>
    <r>
      <rPr>
        <vertAlign val="superscript"/>
        <sz val="8"/>
        <color rgb="FF00B050"/>
        <rFont val="Verdana"/>
        <family val="2"/>
      </rPr>
      <t>(T)</t>
    </r>
  </si>
  <si>
    <r>
      <t>593.11</t>
    </r>
    <r>
      <rPr>
        <vertAlign val="superscript"/>
        <sz val="8"/>
        <color rgb="FF00B050"/>
        <rFont val="Verdana"/>
        <family val="2"/>
      </rPr>
      <t>(T)</t>
    </r>
  </si>
  <si>
    <r>
      <t>598.11</t>
    </r>
    <r>
      <rPr>
        <vertAlign val="superscript"/>
        <sz val="8"/>
        <color rgb="FF00B050"/>
        <rFont val="Verdana"/>
        <family val="2"/>
      </rPr>
      <t>(T)</t>
    </r>
  </si>
  <si>
    <r>
      <t>596.75</t>
    </r>
    <r>
      <rPr>
        <vertAlign val="superscript"/>
        <sz val="8"/>
        <color rgb="FF00B050"/>
        <rFont val="Verdana"/>
        <family val="2"/>
      </rPr>
      <t>(T)</t>
    </r>
  </si>
  <si>
    <r>
      <t>599.74</t>
    </r>
    <r>
      <rPr>
        <vertAlign val="superscript"/>
        <sz val="8"/>
        <color rgb="FF00B050"/>
        <rFont val="Verdana"/>
        <family val="2"/>
      </rPr>
      <t>(T)</t>
    </r>
  </si>
  <si>
    <r>
      <t>603.59</t>
    </r>
    <r>
      <rPr>
        <vertAlign val="superscript"/>
        <sz val="8"/>
        <color rgb="FF00B050"/>
        <rFont val="Verdana"/>
        <family val="2"/>
      </rPr>
      <t>(T)</t>
    </r>
  </si>
  <si>
    <r>
      <t>603.43</t>
    </r>
    <r>
      <rPr>
        <vertAlign val="superscript"/>
        <sz val="8"/>
        <color rgb="FF00B050"/>
        <rFont val="Verdana"/>
        <family val="2"/>
      </rPr>
      <t>(T)</t>
    </r>
  </si>
  <si>
    <r>
      <t>606.19</t>
    </r>
    <r>
      <rPr>
        <vertAlign val="superscript"/>
        <sz val="8"/>
        <color rgb="FF00B050"/>
        <rFont val="Verdana"/>
        <family val="2"/>
      </rPr>
      <t>(T)</t>
    </r>
  </si>
  <si>
    <r>
      <t>606.20</t>
    </r>
    <r>
      <rPr>
        <vertAlign val="superscript"/>
        <sz val="8"/>
        <color rgb="FF00B050"/>
        <rFont val="Verdana"/>
        <family val="2"/>
      </rPr>
      <t>(T)</t>
    </r>
  </si>
  <si>
    <r>
      <t>606.98</t>
    </r>
    <r>
      <rPr>
        <vertAlign val="superscript"/>
        <sz val="8"/>
        <color rgb="FF00B050"/>
        <rFont val="Verdana"/>
        <family val="2"/>
      </rPr>
      <t>(T)</t>
    </r>
  </si>
  <si>
    <r>
      <t>608.85</t>
    </r>
    <r>
      <rPr>
        <vertAlign val="superscript"/>
        <sz val="8"/>
        <color rgb="FF00B050"/>
        <rFont val="Verdana"/>
        <family val="2"/>
      </rPr>
      <t>(T)</t>
    </r>
  </si>
  <si>
    <r>
      <t>608.64</t>
    </r>
    <r>
      <rPr>
        <vertAlign val="superscript"/>
        <sz val="8"/>
        <color rgb="FF00B050"/>
        <rFont val="Verdana"/>
        <family val="2"/>
      </rPr>
      <t>(T)</t>
    </r>
  </si>
  <si>
    <r>
      <t>608.37</t>
    </r>
    <r>
      <rPr>
        <vertAlign val="superscript"/>
        <sz val="8"/>
        <color rgb="FF00B050"/>
        <rFont val="Verdana"/>
        <family val="2"/>
      </rPr>
      <t>(T)</t>
    </r>
  </si>
  <si>
    <r>
      <t>611.73</t>
    </r>
    <r>
      <rPr>
        <vertAlign val="superscript"/>
        <sz val="8"/>
        <color rgb="FF00B050"/>
        <rFont val="Verdana"/>
        <family val="2"/>
      </rPr>
      <t>(T)</t>
    </r>
  </si>
  <si>
    <r>
      <t>610.23</t>
    </r>
    <r>
      <rPr>
        <vertAlign val="superscript"/>
        <sz val="8"/>
        <color rgb="FF00B050"/>
        <rFont val="Verdana"/>
        <family val="2"/>
      </rPr>
      <t>(T)</t>
    </r>
  </si>
  <si>
    <r>
      <t>611.22</t>
    </r>
    <r>
      <rPr>
        <vertAlign val="superscript"/>
        <sz val="8"/>
        <color rgb="FF00B050"/>
        <rFont val="Verdana"/>
        <family val="2"/>
      </rPr>
      <t>(T)</t>
    </r>
  </si>
  <si>
    <r>
      <t>613.60</t>
    </r>
    <r>
      <rPr>
        <vertAlign val="superscript"/>
        <sz val="8"/>
        <color rgb="FF00B050"/>
        <rFont val="Verdana"/>
        <family val="2"/>
      </rPr>
      <t>(T)</t>
    </r>
  </si>
  <si>
    <r>
      <t>612.12</t>
    </r>
    <r>
      <rPr>
        <vertAlign val="superscript"/>
        <sz val="8"/>
        <color rgb="FF00B050"/>
        <rFont val="Verdana"/>
        <family val="2"/>
      </rPr>
      <t>(T)</t>
    </r>
  </si>
  <si>
    <r>
      <t>613.91</t>
    </r>
    <r>
      <rPr>
        <vertAlign val="superscript"/>
        <sz val="8"/>
        <color rgb="FF00B050"/>
        <rFont val="Verdana"/>
        <family val="2"/>
      </rPr>
      <t>(T)</t>
    </r>
  </si>
  <si>
    <r>
      <t>614.54</t>
    </r>
    <r>
      <rPr>
        <vertAlign val="superscript"/>
        <sz val="8"/>
        <color rgb="FF00B050"/>
        <rFont val="Verdana"/>
        <family val="2"/>
      </rPr>
      <t>(T)</t>
    </r>
  </si>
  <si>
    <r>
      <t>615.18</t>
    </r>
    <r>
      <rPr>
        <vertAlign val="superscript"/>
        <sz val="8"/>
        <color rgb="FF00B050"/>
        <rFont val="Verdana"/>
        <family val="2"/>
      </rPr>
      <t>(T)</t>
    </r>
  </si>
  <si>
    <r>
      <t>616.91</t>
    </r>
    <r>
      <rPr>
        <vertAlign val="superscript"/>
        <sz val="8"/>
        <color rgb="FF00B050"/>
        <rFont val="Verdana"/>
        <family val="2"/>
      </rPr>
      <t>(T)</t>
    </r>
  </si>
  <si>
    <r>
      <t>617.54</t>
    </r>
    <r>
      <rPr>
        <vertAlign val="superscript"/>
        <sz val="8"/>
        <color rgb="FF00B050"/>
        <rFont val="Verdana"/>
        <family val="2"/>
      </rPr>
      <t>(T)</t>
    </r>
  </si>
  <si>
    <r>
      <t>619.45</t>
    </r>
    <r>
      <rPr>
        <vertAlign val="superscript"/>
        <sz val="8"/>
        <color rgb="FF00B050"/>
        <rFont val="Verdana"/>
        <family val="2"/>
      </rPr>
      <t>(T)</t>
    </r>
  </si>
  <si>
    <r>
      <t>624.42</t>
    </r>
    <r>
      <rPr>
        <vertAlign val="superscript"/>
        <sz val="8"/>
        <color rgb="FF00B050"/>
        <rFont val="Verdana"/>
        <family val="2"/>
      </rPr>
      <t>(T)</t>
    </r>
  </si>
  <si>
    <r>
      <t>627.55</t>
    </r>
    <r>
      <rPr>
        <vertAlign val="superscript"/>
        <sz val="8"/>
        <color rgb="FF00B050"/>
        <rFont val="Verdana"/>
        <family val="2"/>
      </rPr>
      <t>(T)</t>
    </r>
  </si>
  <si>
    <r>
      <t>627.47</t>
    </r>
    <r>
      <rPr>
        <vertAlign val="superscript"/>
        <sz val="8"/>
        <color rgb="FF00B050"/>
        <rFont val="Verdana"/>
        <family val="2"/>
      </rPr>
      <t>(T)</t>
    </r>
  </si>
  <si>
    <r>
      <t>629.79</t>
    </r>
    <r>
      <rPr>
        <vertAlign val="superscript"/>
        <sz val="8"/>
        <color rgb="FF00B050"/>
        <rFont val="Verdana"/>
        <family val="2"/>
      </rPr>
      <t>(T)</t>
    </r>
  </si>
  <si>
    <r>
      <t>631.65</t>
    </r>
    <r>
      <rPr>
        <vertAlign val="superscript"/>
        <sz val="8"/>
        <color rgb="FF00B050"/>
        <rFont val="Verdana"/>
        <family val="2"/>
      </rPr>
      <t>(T)</t>
    </r>
  </si>
  <si>
    <r>
      <t>629.75</t>
    </r>
    <r>
      <rPr>
        <vertAlign val="superscript"/>
        <sz val="8"/>
        <color rgb="FF00B050"/>
        <rFont val="Verdana"/>
        <family val="2"/>
      </rPr>
      <t>(T)</t>
    </r>
  </si>
  <si>
    <r>
      <t>631.92</t>
    </r>
    <r>
      <rPr>
        <vertAlign val="superscript"/>
        <sz val="8"/>
        <color rgb="FF00B050"/>
        <rFont val="Verdana"/>
        <family val="2"/>
      </rPr>
      <t>(T)</t>
    </r>
  </si>
  <si>
    <r>
      <t>631.04</t>
    </r>
    <r>
      <rPr>
        <vertAlign val="superscript"/>
        <sz val="8"/>
        <color rgb="FF00B050"/>
        <rFont val="Verdana"/>
        <family val="2"/>
      </rPr>
      <t>(T)</t>
    </r>
  </si>
  <si>
    <r>
      <t>632.04</t>
    </r>
    <r>
      <rPr>
        <vertAlign val="superscript"/>
        <sz val="8"/>
        <color rgb="FF00B050"/>
        <rFont val="Verdana"/>
        <family val="2"/>
      </rPr>
      <t>(T)</t>
    </r>
  </si>
  <si>
    <r>
      <t>631.85</t>
    </r>
    <r>
      <rPr>
        <vertAlign val="superscript"/>
        <sz val="8"/>
        <color rgb="FF00B050"/>
        <rFont val="Verdana"/>
        <family val="2"/>
      </rPr>
      <t>(T)</t>
    </r>
  </si>
  <si>
    <r>
      <t>632.51</t>
    </r>
    <r>
      <rPr>
        <vertAlign val="superscript"/>
        <sz val="8"/>
        <color rgb="FF00B050"/>
        <rFont val="Verdana"/>
        <family val="2"/>
      </rPr>
      <t>(T)</t>
    </r>
  </si>
  <si>
    <r>
      <t>631.71</t>
    </r>
    <r>
      <rPr>
        <vertAlign val="superscript"/>
        <sz val="8"/>
        <color rgb="FF00B050"/>
        <rFont val="Verdana"/>
        <family val="2"/>
      </rPr>
      <t>(T)</t>
    </r>
  </si>
  <si>
    <r>
      <t>632.52</t>
    </r>
    <r>
      <rPr>
        <vertAlign val="superscript"/>
        <sz val="8"/>
        <color rgb="FF00B050"/>
        <rFont val="Verdana"/>
        <family val="2"/>
      </rPr>
      <t>(T)</t>
    </r>
  </si>
  <si>
    <r>
      <t>628.76</t>
    </r>
    <r>
      <rPr>
        <vertAlign val="superscript"/>
        <sz val="8"/>
        <color rgb="FF00B050"/>
        <rFont val="Verdana"/>
        <family val="2"/>
      </rPr>
      <t>(T)</t>
    </r>
  </si>
  <si>
    <r>
      <t>627.92</t>
    </r>
    <r>
      <rPr>
        <vertAlign val="superscript"/>
        <sz val="8"/>
        <color rgb="FF00B050"/>
        <rFont val="Verdana"/>
        <family val="2"/>
      </rPr>
      <t>(T)</t>
    </r>
  </si>
  <si>
    <r>
      <t>631.46</t>
    </r>
    <r>
      <rPr>
        <vertAlign val="superscript"/>
        <sz val="8"/>
        <color rgb="FF00B050"/>
        <rFont val="Verdana"/>
        <family val="2"/>
      </rPr>
      <t>(T)</t>
    </r>
  </si>
  <si>
    <r>
      <t>631.37</t>
    </r>
    <r>
      <rPr>
        <vertAlign val="superscript"/>
        <sz val="8"/>
        <color rgb="FF00B050"/>
        <rFont val="Verdana"/>
        <family val="2"/>
      </rPr>
      <t>(T)</t>
    </r>
  </si>
  <si>
    <r>
      <t>636.62</t>
    </r>
    <r>
      <rPr>
        <vertAlign val="superscript"/>
        <sz val="8"/>
        <color rgb="FF00B050"/>
        <rFont val="Verdana"/>
        <family val="2"/>
      </rPr>
      <t>(T)</t>
    </r>
  </si>
  <si>
    <r>
      <t>637.87</t>
    </r>
    <r>
      <rPr>
        <vertAlign val="superscript"/>
        <sz val="8"/>
        <color rgb="FF00B050"/>
        <rFont val="Verdana"/>
        <family val="2"/>
      </rPr>
      <t>(T)</t>
    </r>
  </si>
  <si>
    <r>
      <t>634.79</t>
    </r>
    <r>
      <rPr>
        <vertAlign val="superscript"/>
        <sz val="8"/>
        <color rgb="FF00B050"/>
        <rFont val="Verdana"/>
        <family val="2"/>
      </rPr>
      <t>(T)</t>
    </r>
  </si>
  <si>
    <r>
      <t>636.71</t>
    </r>
    <r>
      <rPr>
        <vertAlign val="superscript"/>
        <sz val="8"/>
        <color rgb="FF00B050"/>
        <rFont val="Verdana"/>
        <family val="2"/>
      </rPr>
      <t>(T)</t>
    </r>
  </si>
  <si>
    <r>
      <t>645.52</t>
    </r>
    <r>
      <rPr>
        <vertAlign val="superscript"/>
        <sz val="8"/>
        <color rgb="FF00B050"/>
        <rFont val="Verdana"/>
        <family val="2"/>
      </rPr>
      <t>(T)</t>
    </r>
  </si>
  <si>
    <r>
      <t>636.10</t>
    </r>
    <r>
      <rPr>
        <vertAlign val="superscript"/>
        <sz val="8"/>
        <color rgb="FF00B050"/>
        <rFont val="Verdana"/>
        <family val="2"/>
      </rPr>
      <t>(T)</t>
    </r>
  </si>
  <si>
    <r>
      <t>638.04</t>
    </r>
    <r>
      <rPr>
        <vertAlign val="superscript"/>
        <sz val="8"/>
        <color rgb="FF00B050"/>
        <rFont val="Verdana"/>
        <family val="2"/>
      </rPr>
      <t>(T)</t>
    </r>
  </si>
  <si>
    <r>
      <t>641.65</t>
    </r>
    <r>
      <rPr>
        <vertAlign val="superscript"/>
        <sz val="8"/>
        <color rgb="FF00B050"/>
        <rFont val="Verdana"/>
        <family val="2"/>
      </rPr>
      <t>(T)</t>
    </r>
  </si>
  <si>
    <r>
      <t>641.52</t>
    </r>
    <r>
      <rPr>
        <vertAlign val="superscript"/>
        <sz val="8"/>
        <color rgb="FF00B050"/>
        <rFont val="Verdana"/>
        <family val="2"/>
      </rPr>
      <t>(T)</t>
    </r>
  </si>
  <si>
    <r>
      <t>647.62</t>
    </r>
    <r>
      <rPr>
        <vertAlign val="superscript"/>
        <sz val="8"/>
        <color rgb="FF00B050"/>
        <rFont val="Verdana"/>
        <family val="2"/>
      </rPr>
      <t>(T)</t>
    </r>
  </si>
  <si>
    <r>
      <t>652.29</t>
    </r>
    <r>
      <rPr>
        <vertAlign val="superscript"/>
        <sz val="8"/>
        <color rgb="FF00B050"/>
        <rFont val="Verdana"/>
        <family val="2"/>
      </rPr>
      <t>(T)</t>
    </r>
  </si>
  <si>
    <r>
      <t>652.35</t>
    </r>
    <r>
      <rPr>
        <vertAlign val="superscript"/>
        <sz val="8"/>
        <color rgb="FF00B050"/>
        <rFont val="Verdana"/>
        <family val="2"/>
      </rPr>
      <t>(T)</t>
    </r>
  </si>
  <si>
    <r>
      <t>653.31</t>
    </r>
    <r>
      <rPr>
        <vertAlign val="superscript"/>
        <sz val="8"/>
        <color rgb="FF00B050"/>
        <rFont val="Verdana"/>
        <family val="2"/>
      </rPr>
      <t>(T)</t>
    </r>
  </si>
  <si>
    <r>
      <t>652.52</t>
    </r>
    <r>
      <rPr>
        <vertAlign val="superscript"/>
        <sz val="8"/>
        <color rgb="FF00B050"/>
        <rFont val="Verdana"/>
        <family val="2"/>
      </rPr>
      <t>(T)</t>
    </r>
  </si>
  <si>
    <r>
      <t>658.18</t>
    </r>
    <r>
      <rPr>
        <vertAlign val="superscript"/>
        <sz val="8"/>
        <color rgb="FF00B050"/>
        <rFont val="Verdana"/>
        <family val="2"/>
      </rPr>
      <t>(T)</t>
    </r>
  </si>
  <si>
    <r>
      <t>658.80</t>
    </r>
    <r>
      <rPr>
        <vertAlign val="superscript"/>
        <sz val="8"/>
        <color rgb="FF00B050"/>
        <rFont val="Verdana"/>
        <family val="2"/>
      </rPr>
      <t>(T)</t>
    </r>
  </si>
  <si>
    <r>
      <t>659.12</t>
    </r>
    <r>
      <rPr>
        <vertAlign val="superscript"/>
        <sz val="8"/>
        <color rgb="FF00B050"/>
        <rFont val="Verdana"/>
        <family val="2"/>
      </rPr>
      <t>(T)</t>
    </r>
  </si>
  <si>
    <r>
      <t>661.06</t>
    </r>
    <r>
      <rPr>
        <vertAlign val="superscript"/>
        <sz val="8"/>
        <color rgb="FF00B050"/>
        <rFont val="Verdana"/>
        <family val="2"/>
      </rPr>
      <t>(T)</t>
    </r>
  </si>
  <si>
    <r>
      <t>662.16</t>
    </r>
    <r>
      <rPr>
        <vertAlign val="superscript"/>
        <sz val="8"/>
        <color rgb="FF00B050"/>
        <rFont val="Verdana"/>
        <family val="2"/>
      </rPr>
      <t>(T)</t>
    </r>
  </si>
  <si>
    <r>
      <t>661.00</t>
    </r>
    <r>
      <rPr>
        <vertAlign val="superscript"/>
        <sz val="8"/>
        <color rgb="FF00B050"/>
        <rFont val="Verdana"/>
        <family val="2"/>
      </rPr>
      <t>(T)</t>
    </r>
  </si>
  <si>
    <r>
      <t>661.84</t>
    </r>
    <r>
      <rPr>
        <vertAlign val="superscript"/>
        <sz val="8"/>
        <color rgb="FF00B050"/>
        <rFont val="Verdana"/>
        <family val="2"/>
      </rPr>
      <t>(T)</t>
    </r>
  </si>
  <si>
    <r>
      <t>669.30</t>
    </r>
    <r>
      <rPr>
        <vertAlign val="superscript"/>
        <sz val="8"/>
        <color rgb="FF00B050"/>
        <rFont val="Verdana"/>
        <family val="2"/>
      </rPr>
      <t>(T)</t>
    </r>
  </si>
  <si>
    <r>
      <t>660.14</t>
    </r>
    <r>
      <rPr>
        <vertAlign val="superscript"/>
        <sz val="8"/>
        <color rgb="FF00B050"/>
        <rFont val="Verdana"/>
        <family val="2"/>
      </rPr>
      <t>(T)</t>
    </r>
  </si>
  <si>
    <r>
      <t>660.15</t>
    </r>
    <r>
      <rPr>
        <vertAlign val="superscript"/>
        <sz val="8"/>
        <color rgb="FF00B050"/>
        <rFont val="Verdana"/>
        <family val="2"/>
      </rPr>
      <t>(T)</t>
    </r>
  </si>
  <si>
    <r>
      <t>660.78</t>
    </r>
    <r>
      <rPr>
        <vertAlign val="superscript"/>
        <sz val="8"/>
        <color rgb="FF00B050"/>
        <rFont val="Verdana"/>
        <family val="2"/>
      </rPr>
      <t>(T)</t>
    </r>
  </si>
  <si>
    <r>
      <t>665.70</t>
    </r>
    <r>
      <rPr>
        <vertAlign val="superscript"/>
        <sz val="8"/>
        <color rgb="FF00B050"/>
        <rFont val="Verdana"/>
        <family val="2"/>
      </rPr>
      <t>(T)</t>
    </r>
  </si>
  <si>
    <r>
      <t>663.30</t>
    </r>
    <r>
      <rPr>
        <vertAlign val="superscript"/>
        <sz val="8"/>
        <color rgb="FF00B050"/>
        <rFont val="Verdana"/>
        <family val="2"/>
      </rPr>
      <t>(T)</t>
    </r>
  </si>
  <si>
    <r>
      <t>669.77</t>
    </r>
    <r>
      <rPr>
        <vertAlign val="superscript"/>
        <sz val="8"/>
        <color rgb="FF00B050"/>
        <rFont val="Verdana"/>
        <family val="2"/>
      </rPr>
      <t>(T)</t>
    </r>
  </si>
  <si>
    <r>
      <t>666.89</t>
    </r>
    <r>
      <rPr>
        <vertAlign val="superscript"/>
        <sz val="8"/>
        <color rgb="FF00B050"/>
        <rFont val="Verdana"/>
        <family val="2"/>
      </rPr>
      <t>(T)</t>
    </r>
  </si>
  <si>
    <r>
      <t>673.03</t>
    </r>
    <r>
      <rPr>
        <vertAlign val="superscript"/>
        <sz val="8"/>
        <color rgb="FF00B050"/>
        <rFont val="Verdana"/>
        <family val="2"/>
      </rPr>
      <t>(T)</t>
    </r>
  </si>
  <si>
    <r>
      <t>675.61</t>
    </r>
    <r>
      <rPr>
        <vertAlign val="superscript"/>
        <sz val="8"/>
        <color rgb="FF00B050"/>
        <rFont val="Verdana"/>
        <family val="2"/>
      </rPr>
      <t>(T)</t>
    </r>
  </si>
  <si>
    <r>
      <t>672.84</t>
    </r>
    <r>
      <rPr>
        <vertAlign val="superscript"/>
        <sz val="8"/>
        <color rgb="FF00B050"/>
        <rFont val="Verdana"/>
        <family val="2"/>
      </rPr>
      <t>(T)</t>
    </r>
  </si>
  <si>
    <r>
      <t>674.36</t>
    </r>
    <r>
      <rPr>
        <vertAlign val="superscript"/>
        <sz val="8"/>
        <color rgb="FF00B050"/>
        <rFont val="Verdana"/>
        <family val="2"/>
      </rPr>
      <t>(T)</t>
    </r>
  </si>
  <si>
    <r>
      <t>669.97</t>
    </r>
    <r>
      <rPr>
        <vertAlign val="superscript"/>
        <sz val="8"/>
        <color rgb="FF00B050"/>
        <rFont val="Verdana"/>
        <family val="2"/>
      </rPr>
      <t>(T)</t>
    </r>
  </si>
  <si>
    <r>
      <t>670.05</t>
    </r>
    <r>
      <rPr>
        <vertAlign val="superscript"/>
        <sz val="8"/>
        <color rgb="FF00B050"/>
        <rFont val="Verdana"/>
        <family val="2"/>
      </rPr>
      <t>(T)</t>
    </r>
  </si>
  <si>
    <r>
      <t>667.01</t>
    </r>
    <r>
      <rPr>
        <vertAlign val="superscript"/>
        <sz val="8"/>
        <color rgb="FF00B050"/>
        <rFont val="Verdana"/>
        <family val="2"/>
      </rPr>
      <t>(T)</t>
    </r>
  </si>
  <si>
    <r>
      <t>670.41</t>
    </r>
    <r>
      <rPr>
        <vertAlign val="superscript"/>
        <sz val="8"/>
        <color rgb="FF00B050"/>
        <rFont val="Verdana"/>
        <family val="2"/>
      </rPr>
      <t>(T)</t>
    </r>
  </si>
  <si>
    <r>
      <t>670.32</t>
    </r>
    <r>
      <rPr>
        <vertAlign val="superscript"/>
        <sz val="8"/>
        <color rgb="FF00B050"/>
        <rFont val="Verdana"/>
        <family val="2"/>
      </rPr>
      <t>(T)</t>
    </r>
  </si>
  <si>
    <r>
      <t>675.97</t>
    </r>
    <r>
      <rPr>
        <vertAlign val="superscript"/>
        <sz val="8"/>
        <color rgb="FF00B050"/>
        <rFont val="Verdana"/>
        <family val="2"/>
      </rPr>
      <t>(T)</t>
    </r>
  </si>
  <si>
    <r>
      <t>674.08</t>
    </r>
    <r>
      <rPr>
        <vertAlign val="superscript"/>
        <sz val="8"/>
        <color rgb="FF00B050"/>
        <rFont val="Verdana"/>
        <family val="2"/>
      </rPr>
      <t>(T)</t>
    </r>
  </si>
  <si>
    <r>
      <t>676.71</t>
    </r>
    <r>
      <rPr>
        <vertAlign val="superscript"/>
        <sz val="8"/>
        <color rgb="FF00B050"/>
        <rFont val="Verdana"/>
        <family val="2"/>
      </rPr>
      <t>(T)</t>
    </r>
  </si>
  <si>
    <r>
      <t>675.36</t>
    </r>
    <r>
      <rPr>
        <vertAlign val="superscript"/>
        <sz val="8"/>
        <color rgb="FF00B050"/>
        <rFont val="Verdana"/>
        <family val="2"/>
      </rPr>
      <t>(T)</t>
    </r>
  </si>
  <si>
    <r>
      <t>675.70</t>
    </r>
    <r>
      <rPr>
        <vertAlign val="superscript"/>
        <sz val="8"/>
        <color rgb="FF00B050"/>
        <rFont val="Verdana"/>
        <family val="2"/>
      </rPr>
      <t>(T)</t>
    </r>
  </si>
  <si>
    <r>
      <t>677.45</t>
    </r>
    <r>
      <rPr>
        <vertAlign val="superscript"/>
        <sz val="8"/>
        <color rgb="FF00B050"/>
        <rFont val="Verdana"/>
        <family val="2"/>
      </rPr>
      <t>(T)</t>
    </r>
  </si>
  <si>
    <r>
      <t>679.60</t>
    </r>
    <r>
      <rPr>
        <vertAlign val="superscript"/>
        <sz val="8"/>
        <color rgb="FF00B050"/>
        <rFont val="Verdana"/>
        <family val="2"/>
      </rPr>
      <t>(T)</t>
    </r>
  </si>
  <si>
    <r>
      <t>684.35</t>
    </r>
    <r>
      <rPr>
        <vertAlign val="superscript"/>
        <sz val="8"/>
        <color rgb="FF00B050"/>
        <rFont val="Verdana"/>
        <family val="2"/>
      </rPr>
      <t>(T)</t>
    </r>
  </si>
  <si>
    <r>
      <t>684.20</t>
    </r>
    <r>
      <rPr>
        <vertAlign val="superscript"/>
        <sz val="8"/>
        <color rgb="FF00B050"/>
        <rFont val="Verdana"/>
        <family val="2"/>
      </rPr>
      <t>(T)</t>
    </r>
  </si>
  <si>
    <r>
      <t>687.87</t>
    </r>
    <r>
      <rPr>
        <vertAlign val="superscript"/>
        <sz val="8"/>
        <color rgb="FF00B050"/>
        <rFont val="Verdana"/>
        <family val="2"/>
      </rPr>
      <t>(T)</t>
    </r>
  </si>
  <si>
    <r>
      <t>686.56</t>
    </r>
    <r>
      <rPr>
        <vertAlign val="superscript"/>
        <sz val="8"/>
        <color rgb="FF00B050"/>
        <rFont val="Verdana"/>
        <family val="2"/>
      </rPr>
      <t>(T)</t>
    </r>
  </si>
  <si>
    <r>
      <t>686.46</t>
    </r>
    <r>
      <rPr>
        <vertAlign val="superscript"/>
        <sz val="8"/>
        <color rgb="FF00B050"/>
        <rFont val="Verdana"/>
        <family val="2"/>
      </rPr>
      <t>(T)</t>
    </r>
  </si>
  <si>
    <r>
      <t>687.02</t>
    </r>
    <r>
      <rPr>
        <vertAlign val="superscript"/>
        <sz val="8"/>
        <color rgb="FF00B050"/>
        <rFont val="Verdana"/>
        <family val="2"/>
      </rPr>
      <t>(T)</t>
    </r>
  </si>
  <si>
    <r>
      <t>686.22</t>
    </r>
    <r>
      <rPr>
        <vertAlign val="superscript"/>
        <sz val="8"/>
        <color rgb="FF00B050"/>
        <rFont val="Verdana"/>
        <family val="2"/>
      </rPr>
      <t>(T)</t>
    </r>
  </si>
  <si>
    <r>
      <t>691.02</t>
    </r>
    <r>
      <rPr>
        <vertAlign val="superscript"/>
        <sz val="8"/>
        <color rgb="FF00B050"/>
        <rFont val="Verdana"/>
        <family val="2"/>
      </rPr>
      <t>(T)</t>
    </r>
  </si>
  <si>
    <r>
      <t>692.50</t>
    </r>
    <r>
      <rPr>
        <vertAlign val="superscript"/>
        <sz val="8"/>
        <color rgb="FF00B050"/>
        <rFont val="Verdana"/>
        <family val="2"/>
      </rPr>
      <t>(T)</t>
    </r>
  </si>
  <si>
    <r>
      <t>694.79</t>
    </r>
    <r>
      <rPr>
        <vertAlign val="superscript"/>
        <sz val="8"/>
        <color rgb="FF00B050"/>
        <rFont val="Verdana"/>
        <family val="2"/>
      </rPr>
      <t>(T)</t>
    </r>
  </si>
  <si>
    <r>
      <t>695.61</t>
    </r>
    <r>
      <rPr>
        <vertAlign val="superscript"/>
        <sz val="8"/>
        <color rgb="FF00B050"/>
        <rFont val="Verdana"/>
        <family val="2"/>
      </rPr>
      <t>(T)</t>
    </r>
  </si>
  <si>
    <r>
      <t>697.48</t>
    </r>
    <r>
      <rPr>
        <vertAlign val="superscript"/>
        <sz val="8"/>
        <color rgb="FF00B050"/>
        <rFont val="Verdana"/>
        <family val="2"/>
      </rPr>
      <t>(T)</t>
    </r>
  </si>
  <si>
    <r>
      <t>698.65</t>
    </r>
    <r>
      <rPr>
        <vertAlign val="superscript"/>
        <sz val="8"/>
        <color rgb="FF00B050"/>
        <rFont val="Verdana"/>
        <family val="2"/>
      </rPr>
      <t>(T)</t>
    </r>
  </si>
  <si>
    <r>
      <t>699.54</t>
    </r>
    <r>
      <rPr>
        <vertAlign val="superscript"/>
        <sz val="8"/>
        <color rgb="FF00B050"/>
        <rFont val="Verdana"/>
        <family val="2"/>
      </rPr>
      <t>(T)</t>
    </r>
  </si>
  <si>
    <r>
      <t>701.24</t>
    </r>
    <r>
      <rPr>
        <vertAlign val="superscript"/>
        <sz val="8"/>
        <color rgb="FF00B050"/>
        <rFont val="Verdana"/>
        <family val="2"/>
      </rPr>
      <t>(T)</t>
    </r>
  </si>
  <si>
    <r>
      <t>703.40</t>
    </r>
    <r>
      <rPr>
        <vertAlign val="superscript"/>
        <sz val="8"/>
        <color rgb="FF00B050"/>
        <rFont val="Verdana"/>
        <family val="2"/>
      </rPr>
      <t>(T)</t>
    </r>
  </si>
  <si>
    <r>
      <t>703.73</t>
    </r>
    <r>
      <rPr>
        <vertAlign val="superscript"/>
        <sz val="8"/>
        <color rgb="FF00B050"/>
        <rFont val="Verdana"/>
        <family val="2"/>
      </rPr>
      <t>(T)</t>
    </r>
  </si>
  <si>
    <r>
      <t>702.90</t>
    </r>
    <r>
      <rPr>
        <vertAlign val="superscript"/>
        <sz val="8"/>
        <color rgb="FF00B050"/>
        <rFont val="Verdana"/>
        <family val="2"/>
      </rPr>
      <t>(T)</t>
    </r>
  </si>
  <si>
    <r>
      <t>704.07</t>
    </r>
    <r>
      <rPr>
        <vertAlign val="superscript"/>
        <sz val="8"/>
        <color rgb="FF00B050"/>
        <rFont val="Verdana"/>
        <family val="2"/>
      </rPr>
      <t>(T)</t>
    </r>
  </si>
  <si>
    <r>
      <t>705.23</t>
    </r>
    <r>
      <rPr>
        <vertAlign val="superscript"/>
        <sz val="8"/>
        <color rgb="FF00B050"/>
        <rFont val="Verdana"/>
        <family val="2"/>
      </rPr>
      <t>(T)</t>
    </r>
  </si>
  <si>
    <r>
      <t>783.05</t>
    </r>
    <r>
      <rPr>
        <vertAlign val="superscript"/>
        <sz val="8"/>
        <color rgb="FF00B050"/>
        <rFont val="Verdana"/>
        <family val="2"/>
      </rPr>
      <t>(T)</t>
    </r>
  </si>
  <si>
    <r>
      <t>822.86</t>
    </r>
    <r>
      <rPr>
        <vertAlign val="superscript"/>
        <sz val="8"/>
        <color rgb="FF00B050"/>
        <rFont val="Verdana"/>
        <family val="2"/>
      </rPr>
      <t>(T)</t>
    </r>
  </si>
  <si>
    <r>
      <t>864.12</t>
    </r>
    <r>
      <rPr>
        <vertAlign val="superscript"/>
        <sz val="8"/>
        <color rgb="FF00B050"/>
        <rFont val="Verdana"/>
        <family val="2"/>
      </rPr>
      <t>(T)</t>
    </r>
  </si>
  <si>
    <r>
      <t>860.22</t>
    </r>
    <r>
      <rPr>
        <vertAlign val="superscript"/>
        <sz val="8"/>
        <color rgb="FF00B050"/>
        <rFont val="Verdana"/>
        <family val="2"/>
      </rPr>
      <t>(T)</t>
    </r>
  </si>
  <si>
    <r>
      <t>837.73</t>
    </r>
    <r>
      <rPr>
        <vertAlign val="superscript"/>
        <sz val="8"/>
        <color rgb="FF00B050"/>
        <rFont val="Verdana"/>
        <family val="2"/>
      </rPr>
      <t>(T)</t>
    </r>
  </si>
  <si>
    <r>
      <t>842.40</t>
    </r>
    <r>
      <rPr>
        <vertAlign val="superscript"/>
        <sz val="8"/>
        <color rgb="FF00B050"/>
        <rFont val="Verdana"/>
        <family val="2"/>
      </rPr>
      <t>(T)</t>
    </r>
  </si>
  <si>
    <r>
      <t>834.83</t>
    </r>
    <r>
      <rPr>
        <vertAlign val="superscript"/>
        <sz val="8"/>
        <color rgb="FF00B050"/>
        <rFont val="Verdana"/>
        <family val="2"/>
      </rPr>
      <t>(T)</t>
    </r>
  </si>
  <si>
    <r>
      <t>856.41</t>
    </r>
    <r>
      <rPr>
        <vertAlign val="superscript"/>
        <sz val="8"/>
        <color rgb="FF00B050"/>
        <rFont val="Verdana"/>
        <family val="2"/>
      </rPr>
      <t>(T)</t>
    </r>
  </si>
  <si>
    <r>
      <t>856.11</t>
    </r>
    <r>
      <rPr>
        <vertAlign val="superscript"/>
        <sz val="8"/>
        <color rgb="FF00B050"/>
        <rFont val="Verdana"/>
        <family val="2"/>
      </rPr>
      <t>(T)</t>
    </r>
  </si>
  <si>
    <r>
      <t>876.23</t>
    </r>
    <r>
      <rPr>
        <vertAlign val="superscript"/>
        <sz val="8"/>
        <color rgb="FF00B050"/>
        <rFont val="Verdana"/>
        <family val="2"/>
      </rPr>
      <t>(T)</t>
    </r>
  </si>
  <si>
    <r>
      <t>914.08</t>
    </r>
    <r>
      <rPr>
        <vertAlign val="superscript"/>
        <sz val="8"/>
        <color rgb="FF00B050"/>
        <rFont val="Verdana"/>
        <family val="2"/>
      </rPr>
      <t>(T)</t>
    </r>
  </si>
  <si>
    <r>
      <t>901.16</t>
    </r>
    <r>
      <rPr>
        <vertAlign val="superscript"/>
        <sz val="8"/>
        <color rgb="FF00B050"/>
        <rFont val="Verdana"/>
        <family val="2"/>
      </rPr>
      <t>(T)</t>
    </r>
  </si>
  <si>
    <r>
      <t>884.58</t>
    </r>
    <r>
      <rPr>
        <vertAlign val="superscript"/>
        <sz val="8"/>
        <color rgb="FF00B050"/>
        <rFont val="Verdana"/>
        <family val="2"/>
      </rPr>
      <t>(T)</t>
    </r>
  </si>
  <si>
    <r>
      <t>884.66</t>
    </r>
    <r>
      <rPr>
        <vertAlign val="superscript"/>
        <sz val="8"/>
        <color rgb="FF00B050"/>
        <rFont val="Verdana"/>
        <family val="2"/>
      </rPr>
      <t>(T)</t>
    </r>
  </si>
  <si>
    <r>
      <t>887.55</t>
    </r>
    <r>
      <rPr>
        <vertAlign val="superscript"/>
        <sz val="8"/>
        <color rgb="FF00B050"/>
        <rFont val="Verdana"/>
        <family val="2"/>
      </rPr>
      <t>(T)</t>
    </r>
  </si>
  <si>
    <r>
      <t>904.94</t>
    </r>
    <r>
      <rPr>
        <vertAlign val="superscript"/>
        <sz val="8"/>
        <color rgb="FF00B050"/>
        <rFont val="Verdana"/>
        <family val="2"/>
      </rPr>
      <t>(T)</t>
    </r>
  </si>
  <si>
    <r>
      <t>895.68</t>
    </r>
    <r>
      <rPr>
        <vertAlign val="superscript"/>
        <sz val="8"/>
        <color rgb="FF00B050"/>
        <rFont val="Verdana"/>
        <family val="2"/>
      </rPr>
      <t>(T)</t>
    </r>
  </si>
  <si>
    <r>
      <t>880.16</t>
    </r>
    <r>
      <rPr>
        <vertAlign val="superscript"/>
        <sz val="8"/>
        <color rgb="FF00B050"/>
        <rFont val="Verdana"/>
        <family val="2"/>
      </rPr>
      <t>(T)</t>
    </r>
  </si>
  <si>
    <r>
      <t>878.41</t>
    </r>
    <r>
      <rPr>
        <vertAlign val="superscript"/>
        <sz val="8"/>
        <color rgb="FF00B050"/>
        <rFont val="Verdana"/>
        <family val="2"/>
      </rPr>
      <t>(T)</t>
    </r>
  </si>
  <si>
    <r>
      <t>878.32</t>
    </r>
    <r>
      <rPr>
        <vertAlign val="superscript"/>
        <sz val="8"/>
        <color rgb="FF00B050"/>
        <rFont val="Verdana"/>
        <family val="2"/>
      </rPr>
      <t>(T)</t>
    </r>
  </si>
  <si>
    <r>
      <t>905.61</t>
    </r>
    <r>
      <rPr>
        <vertAlign val="superscript"/>
        <sz val="8"/>
        <color rgb="FF00B050"/>
        <rFont val="Verdana"/>
        <family val="2"/>
      </rPr>
      <t>(T)</t>
    </r>
  </si>
  <si>
    <r>
      <t>904.58</t>
    </r>
    <r>
      <rPr>
        <vertAlign val="superscript"/>
        <sz val="8"/>
        <color rgb="FF00B050"/>
        <rFont val="Verdana"/>
        <family val="2"/>
      </rPr>
      <t>(T)</t>
    </r>
  </si>
  <si>
    <r>
      <t>910.54</t>
    </r>
    <r>
      <rPr>
        <vertAlign val="superscript"/>
        <sz val="8"/>
        <color rgb="FF00B050"/>
        <rFont val="Verdana"/>
        <family val="2"/>
      </rPr>
      <t>(T)</t>
    </r>
  </si>
  <si>
    <r>
      <t>895.45</t>
    </r>
    <r>
      <rPr>
        <vertAlign val="superscript"/>
        <sz val="8"/>
        <color rgb="FF00B050"/>
        <rFont val="Verdana"/>
        <family val="2"/>
      </rPr>
      <t>(T)</t>
    </r>
  </si>
  <si>
    <r>
      <t>897.15</t>
    </r>
    <r>
      <rPr>
        <vertAlign val="superscript"/>
        <sz val="8"/>
        <color rgb="FF00B050"/>
        <rFont val="Verdana"/>
        <family val="2"/>
      </rPr>
      <t>(T)</t>
    </r>
  </si>
  <si>
    <r>
      <t>884.48</t>
    </r>
    <r>
      <rPr>
        <vertAlign val="superscript"/>
        <sz val="8"/>
        <color rgb="FF00B050"/>
        <rFont val="Verdana"/>
        <family val="2"/>
      </rPr>
      <t>(T)</t>
    </r>
  </si>
  <si>
    <r>
      <t>884.07</t>
    </r>
    <r>
      <rPr>
        <vertAlign val="superscript"/>
        <sz val="8"/>
        <color rgb="FF00B050"/>
        <rFont val="Verdana"/>
        <family val="2"/>
      </rPr>
      <t>(T)</t>
    </r>
  </si>
  <si>
    <r>
      <t>907.93</t>
    </r>
    <r>
      <rPr>
        <vertAlign val="superscript"/>
        <sz val="8"/>
        <color rgb="FF00B050"/>
        <rFont val="Verdana"/>
        <family val="2"/>
      </rPr>
      <t>(T)</t>
    </r>
  </si>
  <si>
    <r>
      <t>890.34</t>
    </r>
    <r>
      <rPr>
        <vertAlign val="superscript"/>
        <sz val="8"/>
        <color rgb="FF00B050"/>
        <rFont val="Verdana"/>
        <family val="2"/>
      </rPr>
      <t>(T)</t>
    </r>
  </si>
  <si>
    <r>
      <t>895.79</t>
    </r>
    <r>
      <rPr>
        <vertAlign val="superscript"/>
        <sz val="8"/>
        <color rgb="FF00B050"/>
        <rFont val="Verdana"/>
        <family val="2"/>
      </rPr>
      <t>(T)</t>
    </r>
  </si>
  <si>
    <r>
      <t>886.23</t>
    </r>
    <r>
      <rPr>
        <vertAlign val="superscript"/>
        <sz val="8"/>
        <color rgb="FF00B050"/>
        <rFont val="Verdana"/>
        <family val="2"/>
      </rPr>
      <t>(T)</t>
    </r>
  </si>
  <si>
    <r>
      <t>890.46</t>
    </r>
    <r>
      <rPr>
        <vertAlign val="superscript"/>
        <sz val="8"/>
        <color rgb="FF00B050"/>
        <rFont val="Verdana"/>
        <family val="2"/>
      </rPr>
      <t>(T)</t>
    </r>
  </si>
  <si>
    <r>
      <t>906.11</t>
    </r>
    <r>
      <rPr>
        <vertAlign val="superscript"/>
        <sz val="8"/>
        <color rgb="FF00B050"/>
        <rFont val="Verdana"/>
        <family val="2"/>
      </rPr>
      <t>(T)</t>
    </r>
  </si>
  <si>
    <r>
      <t>913.13</t>
    </r>
    <r>
      <rPr>
        <vertAlign val="superscript"/>
        <sz val="8"/>
        <color rgb="FF00B050"/>
        <rFont val="Verdana"/>
        <family val="2"/>
      </rPr>
      <t>(T)</t>
    </r>
  </si>
  <si>
    <r>
      <t>912.85</t>
    </r>
    <r>
      <rPr>
        <vertAlign val="superscript"/>
        <sz val="8"/>
        <color rgb="FF00B050"/>
        <rFont val="Verdana"/>
        <family val="2"/>
      </rPr>
      <t>(T)</t>
    </r>
  </si>
  <si>
    <r>
      <t>887.11</t>
    </r>
    <r>
      <rPr>
        <vertAlign val="superscript"/>
        <sz val="8"/>
        <color rgb="FF00B050"/>
        <rFont val="Verdana"/>
        <family val="2"/>
      </rPr>
      <t>(T)</t>
    </r>
  </si>
  <si>
    <r>
      <t>915.33</t>
    </r>
    <r>
      <rPr>
        <vertAlign val="superscript"/>
        <sz val="8"/>
        <color rgb="FF00B050"/>
        <rFont val="Verdana"/>
        <family val="2"/>
      </rPr>
      <t>(T)</t>
    </r>
  </si>
  <si>
    <r>
      <t>915.32</t>
    </r>
    <r>
      <rPr>
        <vertAlign val="superscript"/>
        <sz val="8"/>
        <color rgb="FF00B050"/>
        <rFont val="Verdana"/>
        <family val="2"/>
      </rPr>
      <t>(T)</t>
    </r>
  </si>
  <si>
    <r>
      <t>907.78</t>
    </r>
    <r>
      <rPr>
        <vertAlign val="superscript"/>
        <sz val="8"/>
        <color rgb="FF00B050"/>
        <rFont val="Verdana"/>
        <family val="2"/>
      </rPr>
      <t>(T)</t>
    </r>
  </si>
  <si>
    <r>
      <t>924.75</t>
    </r>
    <r>
      <rPr>
        <vertAlign val="superscript"/>
        <sz val="8"/>
        <color rgb="FF00B050"/>
        <rFont val="Verdana"/>
        <family val="2"/>
      </rPr>
      <t>(T)</t>
    </r>
  </si>
  <si>
    <r>
      <t>921.67</t>
    </r>
    <r>
      <rPr>
        <vertAlign val="superscript"/>
        <sz val="8"/>
        <color rgb="FF00B050"/>
        <rFont val="Verdana"/>
        <family val="2"/>
      </rPr>
      <t>(T)</t>
    </r>
  </si>
  <si>
    <r>
      <t>922.05</t>
    </r>
    <r>
      <rPr>
        <vertAlign val="superscript"/>
        <sz val="8"/>
        <color rgb="FF00B050"/>
        <rFont val="Verdana"/>
        <family val="2"/>
      </rPr>
      <t>(T)</t>
    </r>
  </si>
  <si>
    <r>
      <t>919.44</t>
    </r>
    <r>
      <rPr>
        <vertAlign val="superscript"/>
        <sz val="8"/>
        <color rgb="FF00B050"/>
        <rFont val="Verdana"/>
        <family val="2"/>
      </rPr>
      <t>(T)</t>
    </r>
  </si>
  <si>
    <r>
      <t>920.64</t>
    </r>
    <r>
      <rPr>
        <vertAlign val="superscript"/>
        <sz val="8"/>
        <color rgb="FF00B050"/>
        <rFont val="Verdana"/>
        <family val="2"/>
      </rPr>
      <t>(T)</t>
    </r>
  </si>
  <si>
    <r>
      <t>924.74</t>
    </r>
    <r>
      <rPr>
        <vertAlign val="superscript"/>
        <sz val="8"/>
        <color rgb="FF00B050"/>
        <rFont val="Verdana"/>
        <family val="2"/>
      </rPr>
      <t>(T)</t>
    </r>
  </si>
  <si>
    <r>
      <t>932.30</t>
    </r>
    <r>
      <rPr>
        <vertAlign val="superscript"/>
        <sz val="8"/>
        <color rgb="FF00B050"/>
        <rFont val="Verdana"/>
        <family val="2"/>
      </rPr>
      <t>(T)</t>
    </r>
  </si>
  <si>
    <r>
      <t>945.21</t>
    </r>
    <r>
      <rPr>
        <vertAlign val="superscript"/>
        <sz val="8"/>
        <color rgb="FF00B050"/>
        <rFont val="Verdana"/>
        <family val="2"/>
      </rPr>
      <t>(T)</t>
    </r>
  </si>
  <si>
    <r>
      <t>909.36</t>
    </r>
    <r>
      <rPr>
        <vertAlign val="superscript"/>
        <sz val="8"/>
        <color rgb="FF00B050"/>
        <rFont val="Verdana"/>
        <family val="2"/>
      </rPr>
      <t>(T)</t>
    </r>
  </si>
  <si>
    <r>
      <t>912.21</t>
    </r>
    <r>
      <rPr>
        <vertAlign val="superscript"/>
        <sz val="8"/>
        <color rgb="FF00B050"/>
        <rFont val="Verdana"/>
        <family val="2"/>
      </rPr>
      <t>(T)</t>
    </r>
  </si>
  <si>
    <r>
      <t>927.58</t>
    </r>
    <r>
      <rPr>
        <vertAlign val="superscript"/>
        <sz val="8"/>
        <color rgb="FF00B050"/>
        <rFont val="Verdana"/>
        <family val="2"/>
      </rPr>
      <t>(T)</t>
    </r>
  </si>
  <si>
    <r>
      <t>927.85</t>
    </r>
    <r>
      <rPr>
        <vertAlign val="superscript"/>
        <sz val="8"/>
        <color rgb="FF00B050"/>
        <rFont val="Verdana"/>
        <family val="2"/>
      </rPr>
      <t>(T)</t>
    </r>
  </si>
  <si>
    <r>
      <t>935.23</t>
    </r>
    <r>
      <rPr>
        <vertAlign val="superscript"/>
        <sz val="8"/>
        <color rgb="FF00B050"/>
        <rFont val="Verdana"/>
        <family val="2"/>
      </rPr>
      <t>(T)</t>
    </r>
  </si>
  <si>
    <r>
      <t>938.58</t>
    </r>
    <r>
      <rPr>
        <vertAlign val="superscript"/>
        <sz val="8"/>
        <color rgb="FF00B050"/>
        <rFont val="Verdana"/>
        <family val="2"/>
      </rPr>
      <t>(T)</t>
    </r>
  </si>
  <si>
    <r>
      <t>942.74</t>
    </r>
    <r>
      <rPr>
        <vertAlign val="superscript"/>
        <sz val="8"/>
        <color rgb="FF00B050"/>
        <rFont val="Verdana"/>
        <family val="2"/>
      </rPr>
      <t>(T)</t>
    </r>
  </si>
  <si>
    <r>
      <t>936.41</t>
    </r>
    <r>
      <rPr>
        <vertAlign val="superscript"/>
        <sz val="8"/>
        <color rgb="FF00B050"/>
        <rFont val="Verdana"/>
        <family val="2"/>
      </rPr>
      <t>(T)</t>
    </r>
  </si>
  <si>
    <r>
      <t>930.31</t>
    </r>
    <r>
      <rPr>
        <vertAlign val="superscript"/>
        <sz val="8"/>
        <color rgb="FF00B050"/>
        <rFont val="Verdana"/>
        <family val="2"/>
      </rPr>
      <t>(T)</t>
    </r>
  </si>
  <si>
    <r>
      <t>940.20</t>
    </r>
    <r>
      <rPr>
        <vertAlign val="superscript"/>
        <sz val="8"/>
        <color rgb="FF00B050"/>
        <rFont val="Verdana"/>
        <family val="2"/>
      </rPr>
      <t>(T)</t>
    </r>
  </si>
  <si>
    <r>
      <t>955.56</t>
    </r>
    <r>
      <rPr>
        <vertAlign val="superscript"/>
        <sz val="8"/>
        <color rgb="FF00B050"/>
        <rFont val="Verdana"/>
        <family val="2"/>
      </rPr>
      <t>(T)</t>
    </r>
  </si>
  <si>
    <r>
      <t>959.10</t>
    </r>
    <r>
      <rPr>
        <vertAlign val="superscript"/>
        <sz val="8"/>
        <color rgb="FF00B050"/>
        <rFont val="Verdana"/>
        <family val="2"/>
      </rPr>
      <t>(T)</t>
    </r>
  </si>
  <si>
    <r>
      <t>934.63</t>
    </r>
    <r>
      <rPr>
        <vertAlign val="superscript"/>
        <sz val="8"/>
        <color rgb="FF00B050"/>
        <rFont val="Verdana"/>
        <family val="2"/>
      </rPr>
      <t>(T)</t>
    </r>
  </si>
  <si>
    <r>
      <t>919.03</t>
    </r>
    <r>
      <rPr>
        <vertAlign val="superscript"/>
        <sz val="8"/>
        <color rgb="FF00B050"/>
        <rFont val="Verdana"/>
        <family val="2"/>
      </rPr>
      <t>(T)</t>
    </r>
  </si>
  <si>
    <r>
      <t>927.40</t>
    </r>
    <r>
      <rPr>
        <vertAlign val="superscript"/>
        <sz val="8"/>
        <color rgb="FF00B050"/>
        <rFont val="Verdana"/>
        <family val="2"/>
      </rPr>
      <t>(T)</t>
    </r>
  </si>
  <si>
    <r>
      <t>931.97</t>
    </r>
    <r>
      <rPr>
        <vertAlign val="superscript"/>
        <sz val="8"/>
        <color rgb="FF00B050"/>
        <rFont val="Verdana"/>
        <family val="2"/>
      </rPr>
      <t>(T)</t>
    </r>
  </si>
  <si>
    <r>
      <t>940.06</t>
    </r>
    <r>
      <rPr>
        <vertAlign val="superscript"/>
        <sz val="8"/>
        <color rgb="FF00B050"/>
        <rFont val="Verdana"/>
        <family val="2"/>
      </rPr>
      <t>(T)</t>
    </r>
  </si>
  <si>
    <r>
      <t>931.98</t>
    </r>
    <r>
      <rPr>
        <vertAlign val="superscript"/>
        <sz val="8"/>
        <color rgb="FF00B050"/>
        <rFont val="Verdana"/>
        <family val="2"/>
      </rPr>
      <t>(T)</t>
    </r>
  </si>
  <si>
    <r>
      <t>934.57</t>
    </r>
    <r>
      <rPr>
        <vertAlign val="superscript"/>
        <sz val="8"/>
        <color rgb="FF00B050"/>
        <rFont val="Verdana"/>
        <family val="2"/>
      </rPr>
      <t>(T)</t>
    </r>
  </si>
  <si>
    <r>
      <t>935.04</t>
    </r>
    <r>
      <rPr>
        <vertAlign val="superscript"/>
        <sz val="8"/>
        <color rgb="FF00B050"/>
        <rFont val="Verdana"/>
        <family val="2"/>
      </rPr>
      <t>(T)</t>
    </r>
  </si>
  <si>
    <r>
      <t>935.02</t>
    </r>
    <r>
      <rPr>
        <vertAlign val="superscript"/>
        <sz val="8"/>
        <color rgb="FF00B050"/>
        <rFont val="Verdana"/>
        <family val="2"/>
      </rPr>
      <t>(T)</t>
    </r>
  </si>
  <si>
    <r>
      <t>950.50</t>
    </r>
    <r>
      <rPr>
        <vertAlign val="superscript"/>
        <sz val="8"/>
        <color rgb="FF00B050"/>
        <rFont val="Verdana"/>
        <family val="2"/>
      </rPr>
      <t>(T)</t>
    </r>
  </si>
  <si>
    <r>
      <t>958.25</t>
    </r>
    <r>
      <rPr>
        <vertAlign val="superscript"/>
        <sz val="8"/>
        <color rgb="FF00B050"/>
        <rFont val="Verdana"/>
        <family val="2"/>
      </rPr>
      <t>(T)</t>
    </r>
  </si>
  <si>
    <r>
      <t>970.73</t>
    </r>
    <r>
      <rPr>
        <vertAlign val="superscript"/>
        <sz val="8"/>
        <color rgb="FF00B050"/>
        <rFont val="Verdana"/>
        <family val="2"/>
      </rPr>
      <t>(T)</t>
    </r>
  </si>
  <si>
    <r>
      <t>942.46</t>
    </r>
    <r>
      <rPr>
        <vertAlign val="superscript"/>
        <sz val="8"/>
        <color rgb="FF00B050"/>
        <rFont val="Verdana"/>
        <family val="2"/>
      </rPr>
      <t>(T)</t>
    </r>
  </si>
  <si>
    <r>
      <t>967.08</t>
    </r>
    <r>
      <rPr>
        <vertAlign val="superscript"/>
        <sz val="8"/>
        <color rgb="FF00B050"/>
        <rFont val="Verdana"/>
        <family val="2"/>
      </rPr>
      <t>(T)</t>
    </r>
  </si>
  <si>
    <r>
      <t>969.07</t>
    </r>
    <r>
      <rPr>
        <vertAlign val="superscript"/>
        <sz val="8"/>
        <color rgb="FF00B050"/>
        <rFont val="Verdana"/>
        <family val="2"/>
      </rPr>
      <t>(T)</t>
    </r>
  </si>
  <si>
    <r>
      <t>959.15</t>
    </r>
    <r>
      <rPr>
        <vertAlign val="superscript"/>
        <sz val="8"/>
        <color rgb="FF00B050"/>
        <rFont val="Verdana"/>
        <family val="2"/>
      </rPr>
      <t>(T)</t>
    </r>
  </si>
  <si>
    <r>
      <t>993.29</t>
    </r>
    <r>
      <rPr>
        <vertAlign val="superscript"/>
        <sz val="8"/>
        <color rgb="FF00B050"/>
        <rFont val="Verdana"/>
        <family val="2"/>
      </rPr>
      <t>(T)</t>
    </r>
  </si>
  <si>
    <r>
      <t>999.42</t>
    </r>
    <r>
      <rPr>
        <vertAlign val="superscript"/>
        <sz val="8"/>
        <color rgb="FF00B050"/>
        <rFont val="Verdana"/>
        <family val="2"/>
      </rPr>
      <t>(T)</t>
    </r>
  </si>
  <si>
    <r>
      <t>998.34</t>
    </r>
    <r>
      <rPr>
        <vertAlign val="superscript"/>
        <sz val="8"/>
        <color rgb="FF00B050"/>
        <rFont val="Verdana"/>
        <family val="2"/>
      </rPr>
      <t>(T)</t>
    </r>
  </si>
  <si>
    <r>
      <t>969.94</t>
    </r>
    <r>
      <rPr>
        <vertAlign val="superscript"/>
        <sz val="8"/>
        <color rgb="FF00B050"/>
        <rFont val="Verdana"/>
        <family val="2"/>
      </rPr>
      <t>(T)</t>
    </r>
  </si>
  <si>
    <r>
      <t>974.01</t>
    </r>
    <r>
      <rPr>
        <vertAlign val="superscript"/>
        <sz val="8"/>
        <color rgb="FF00B050"/>
        <rFont val="Verdana"/>
        <family val="2"/>
      </rPr>
      <t>(T)</t>
    </r>
  </si>
  <si>
    <r>
      <t>991.88</t>
    </r>
    <r>
      <rPr>
        <vertAlign val="superscript"/>
        <sz val="8"/>
        <color rgb="FF00B050"/>
        <rFont val="Verdana"/>
        <family val="2"/>
      </rPr>
      <t>(T)</t>
    </r>
  </si>
  <si>
    <r>
      <t>1,025.73</t>
    </r>
    <r>
      <rPr>
        <vertAlign val="superscript"/>
        <sz val="8"/>
        <color rgb="FF00B050"/>
        <rFont val="Verdana"/>
        <family val="2"/>
      </rPr>
      <t>(T)</t>
    </r>
  </si>
  <si>
    <r>
      <t>1,016.63</t>
    </r>
    <r>
      <rPr>
        <vertAlign val="superscript"/>
        <sz val="8"/>
        <color rgb="FF00B050"/>
        <rFont val="Verdana"/>
        <family val="2"/>
      </rPr>
      <t>(T)</t>
    </r>
  </si>
  <si>
    <r>
      <t>989.92</t>
    </r>
    <r>
      <rPr>
        <vertAlign val="superscript"/>
        <sz val="8"/>
        <color rgb="FF00B050"/>
        <rFont val="Verdana"/>
        <family val="2"/>
      </rPr>
      <t>(T)</t>
    </r>
  </si>
  <si>
    <r>
      <t>1,064.65</t>
    </r>
    <r>
      <rPr>
        <vertAlign val="superscript"/>
        <sz val="8"/>
        <color rgb="FF00B050"/>
        <rFont val="Verdana"/>
        <family val="2"/>
      </rPr>
      <t>(T)</t>
    </r>
  </si>
  <si>
    <r>
      <t>1,011.82</t>
    </r>
    <r>
      <rPr>
        <vertAlign val="superscript"/>
        <sz val="8"/>
        <color rgb="FF00B050"/>
        <rFont val="Verdana"/>
        <family val="2"/>
      </rPr>
      <t>(T)</t>
    </r>
  </si>
  <si>
    <r>
      <t>1,007.16</t>
    </r>
    <r>
      <rPr>
        <vertAlign val="superscript"/>
        <sz val="8"/>
        <color rgb="FF00B050"/>
        <rFont val="Verdana"/>
        <family val="2"/>
      </rPr>
      <t>(T)</t>
    </r>
  </si>
  <si>
    <r>
      <t>1,011.04</t>
    </r>
    <r>
      <rPr>
        <vertAlign val="superscript"/>
        <sz val="8"/>
        <color rgb="FF00B050"/>
        <rFont val="Verdana"/>
        <family val="2"/>
      </rPr>
      <t>(T)</t>
    </r>
  </si>
  <si>
    <r>
      <t>1,013.18</t>
    </r>
    <r>
      <rPr>
        <vertAlign val="superscript"/>
        <sz val="8"/>
        <color rgb="FF00B050"/>
        <rFont val="Verdana"/>
        <family val="2"/>
      </rPr>
      <t>(T)</t>
    </r>
  </si>
  <si>
    <r>
      <t>1,031.88</t>
    </r>
    <r>
      <rPr>
        <vertAlign val="superscript"/>
        <sz val="8"/>
        <color rgb="FF00B050"/>
        <rFont val="Verdana"/>
        <family val="2"/>
      </rPr>
      <t>(T)</t>
    </r>
  </si>
  <si>
    <r>
      <t>1,041.62</t>
    </r>
    <r>
      <rPr>
        <vertAlign val="superscript"/>
        <sz val="8"/>
        <color rgb="FF00B050"/>
        <rFont val="Verdana"/>
        <family val="2"/>
      </rPr>
      <t>(T)</t>
    </r>
  </si>
  <si>
    <r>
      <t>1,039.00</t>
    </r>
    <r>
      <rPr>
        <vertAlign val="superscript"/>
        <sz val="8"/>
        <color rgb="FF00B050"/>
        <rFont val="Verdana"/>
        <family val="2"/>
      </rPr>
      <t>(T)</t>
    </r>
  </si>
  <si>
    <r>
      <t>1,039.92</t>
    </r>
    <r>
      <rPr>
        <vertAlign val="superscript"/>
        <sz val="8"/>
        <color rgb="FF00B050"/>
        <rFont val="Verdana"/>
        <family val="2"/>
      </rPr>
      <t>(T)</t>
    </r>
  </si>
  <si>
    <r>
      <t>1,044.75</t>
    </r>
    <r>
      <rPr>
        <vertAlign val="superscript"/>
        <sz val="8"/>
        <color rgb="FF00B050"/>
        <rFont val="Verdana"/>
        <family val="2"/>
      </rPr>
      <t>(T)</t>
    </r>
  </si>
  <si>
    <r>
      <t>1,044.54</t>
    </r>
    <r>
      <rPr>
        <vertAlign val="superscript"/>
        <sz val="8"/>
        <color rgb="FF00B050"/>
        <rFont val="Verdana"/>
        <family val="2"/>
      </rPr>
      <t>(T)</t>
    </r>
  </si>
  <si>
    <r>
      <t>1,049.20</t>
    </r>
    <r>
      <rPr>
        <vertAlign val="superscript"/>
        <sz val="8"/>
        <color rgb="FF00B050"/>
        <rFont val="Verdana"/>
        <family val="2"/>
      </rPr>
      <t>(T)</t>
    </r>
  </si>
  <si>
    <r>
      <t>1,043.23</t>
    </r>
    <r>
      <rPr>
        <vertAlign val="superscript"/>
        <sz val="8"/>
        <color rgb="FF00B050"/>
        <rFont val="Verdana"/>
        <family val="2"/>
      </rPr>
      <t>(T)</t>
    </r>
  </si>
  <si>
    <r>
      <t>1,039.50</t>
    </r>
    <r>
      <rPr>
        <vertAlign val="superscript"/>
        <sz val="8"/>
        <color rgb="FF00B050"/>
        <rFont val="Verdana"/>
        <family val="2"/>
      </rPr>
      <t>(T)</t>
    </r>
  </si>
  <si>
    <r>
      <t>1,042.05</t>
    </r>
    <r>
      <rPr>
        <vertAlign val="superscript"/>
        <sz val="8"/>
        <color rgb="FF00B050"/>
        <rFont val="Verdana"/>
        <family val="2"/>
      </rPr>
      <t>(T)</t>
    </r>
  </si>
  <si>
    <r>
      <t>1,062.64</t>
    </r>
    <r>
      <rPr>
        <vertAlign val="superscript"/>
        <sz val="8"/>
        <color rgb="FF00B050"/>
        <rFont val="Verdana"/>
        <family val="2"/>
      </rPr>
      <t>(T)</t>
    </r>
  </si>
  <si>
    <r>
      <t>1,054.36</t>
    </r>
    <r>
      <rPr>
        <vertAlign val="superscript"/>
        <sz val="8"/>
        <color rgb="FF00B050"/>
        <rFont val="Verdana"/>
        <family val="2"/>
      </rPr>
      <t>(T)</t>
    </r>
  </si>
  <si>
    <r>
      <t>1,023.22</t>
    </r>
    <r>
      <rPr>
        <vertAlign val="superscript"/>
        <sz val="8"/>
        <color rgb="FF00B050"/>
        <rFont val="Verdana"/>
        <family val="2"/>
      </rPr>
      <t>(T)</t>
    </r>
  </si>
  <si>
    <r>
      <t>1,049.26</t>
    </r>
    <r>
      <rPr>
        <vertAlign val="superscript"/>
        <sz val="8"/>
        <color rgb="FF00B050"/>
        <rFont val="Verdana"/>
        <family val="2"/>
      </rPr>
      <t>(T)</t>
    </r>
  </si>
  <si>
    <r>
      <t>1,053.32</t>
    </r>
    <r>
      <rPr>
        <vertAlign val="superscript"/>
        <sz val="8"/>
        <color rgb="FF00B050"/>
        <rFont val="Verdana"/>
        <family val="2"/>
      </rPr>
      <t>(T)</t>
    </r>
  </si>
  <si>
    <r>
      <t>1,050.77</t>
    </r>
    <r>
      <rPr>
        <vertAlign val="superscript"/>
        <sz val="8"/>
        <color rgb="FF00B050"/>
        <rFont val="Verdana"/>
        <family val="2"/>
      </rPr>
      <t>(T)</t>
    </r>
  </si>
  <si>
    <r>
      <t>1,057.80</t>
    </r>
    <r>
      <rPr>
        <vertAlign val="superscript"/>
        <sz val="8"/>
        <color rgb="FF00B050"/>
        <rFont val="Verdana"/>
        <family val="2"/>
      </rPr>
      <t>(T)</t>
    </r>
  </si>
  <si>
    <r>
      <t>1,060.68</t>
    </r>
    <r>
      <rPr>
        <vertAlign val="superscript"/>
        <sz val="8"/>
        <color rgb="FF00B050"/>
        <rFont val="Verdana"/>
        <family val="2"/>
      </rPr>
      <t>(T)</t>
    </r>
  </si>
  <si>
    <r>
      <t>1,064.49</t>
    </r>
    <r>
      <rPr>
        <vertAlign val="superscript"/>
        <sz val="8"/>
        <color rgb="FF00B050"/>
        <rFont val="Verdana"/>
        <family val="2"/>
      </rPr>
      <t>(T)</t>
    </r>
  </si>
  <si>
    <r>
      <t>1,064.39</t>
    </r>
    <r>
      <rPr>
        <vertAlign val="superscript"/>
        <sz val="8"/>
        <color rgb="FF00B050"/>
        <rFont val="Verdana"/>
        <family val="2"/>
      </rPr>
      <t>(T)</t>
    </r>
  </si>
  <si>
    <r>
      <t>1,069.17</t>
    </r>
    <r>
      <rPr>
        <vertAlign val="superscript"/>
        <sz val="8"/>
        <color rgb="FF00B050"/>
        <rFont val="Verdana"/>
        <family val="2"/>
      </rPr>
      <t>(T)</t>
    </r>
  </si>
  <si>
    <r>
      <t>1,067.63</t>
    </r>
    <r>
      <rPr>
        <vertAlign val="superscript"/>
        <sz val="8"/>
        <color rgb="FF00B050"/>
        <rFont val="Verdana"/>
        <family val="2"/>
      </rPr>
      <t>(T)</t>
    </r>
  </si>
  <si>
    <r>
      <t>1,065.73</t>
    </r>
    <r>
      <rPr>
        <vertAlign val="superscript"/>
        <sz val="8"/>
        <color rgb="FF00B050"/>
        <rFont val="Verdana"/>
        <family val="2"/>
      </rPr>
      <t>(T)</t>
    </r>
  </si>
  <si>
    <r>
      <t>1,064.43</t>
    </r>
    <r>
      <rPr>
        <vertAlign val="superscript"/>
        <sz val="8"/>
        <color rgb="FF00B050"/>
        <rFont val="Verdana"/>
        <family val="2"/>
      </rPr>
      <t>(T)</t>
    </r>
  </si>
  <si>
    <r>
      <t>1,064.89</t>
    </r>
    <r>
      <rPr>
        <vertAlign val="superscript"/>
        <sz val="8"/>
        <color rgb="FF00B050"/>
        <rFont val="Verdana"/>
        <family val="2"/>
      </rPr>
      <t>(T)</t>
    </r>
  </si>
  <si>
    <r>
      <t>1,067.55</t>
    </r>
    <r>
      <rPr>
        <vertAlign val="superscript"/>
        <sz val="8"/>
        <color rgb="FF00B050"/>
        <rFont val="Verdana"/>
        <family val="2"/>
      </rPr>
      <t>(T)</t>
    </r>
  </si>
  <si>
    <r>
      <t>1,067.93</t>
    </r>
    <r>
      <rPr>
        <vertAlign val="superscript"/>
        <sz val="8"/>
        <color rgb="FF00B050"/>
        <rFont val="Verdana"/>
        <family val="2"/>
      </rPr>
      <t>(T)</t>
    </r>
  </si>
  <si>
    <r>
      <t>1,069.10</t>
    </r>
    <r>
      <rPr>
        <vertAlign val="superscript"/>
        <sz val="8"/>
        <color rgb="FF00B050"/>
        <rFont val="Verdana"/>
        <family val="2"/>
      </rPr>
      <t>(T)</t>
    </r>
  </si>
  <si>
    <r>
      <t>1,071.52</t>
    </r>
    <r>
      <rPr>
        <vertAlign val="superscript"/>
        <sz val="8"/>
        <color rgb="FF00B050"/>
        <rFont val="Verdana"/>
        <family val="2"/>
      </rPr>
      <t>(T)</t>
    </r>
  </si>
  <si>
    <r>
      <t>1,070.48</t>
    </r>
    <r>
      <rPr>
        <vertAlign val="superscript"/>
        <sz val="8"/>
        <color rgb="FF00B050"/>
        <rFont val="Verdana"/>
        <family val="2"/>
      </rPr>
      <t>(T)</t>
    </r>
  </si>
  <si>
    <r>
      <t>1,072.96</t>
    </r>
    <r>
      <rPr>
        <vertAlign val="superscript"/>
        <sz val="8"/>
        <color rgb="FF00B050"/>
        <rFont val="Verdana"/>
        <family val="2"/>
      </rPr>
      <t>(T)</t>
    </r>
  </si>
  <si>
    <t xml:space="preserve"> The peer industry includes OPG, 14 US investor owned firms that filed FERC Form 1, 2 federally regulated firms, and 1 municipal</t>
  </si>
  <si>
    <t>which refers back to "NA comb O&amp;M price indexes"</t>
  </si>
  <si>
    <r>
      <rPr>
        <b/>
        <sz val="11"/>
        <color theme="1"/>
        <rFont val="Book Antiqua"/>
        <family val="1"/>
      </rPr>
      <t>Step 1: Select peer from dropdown menu (Cell C2):</t>
    </r>
    <r>
      <rPr>
        <sz val="11"/>
        <color theme="1"/>
        <rFont val="Book Antiqua"/>
        <family val="1"/>
      </rPr>
      <t xml:space="preserve"> </t>
    </r>
  </si>
  <si>
    <t>The dropdown will show results based on peer or peer group selected. Contains individual information on OPG and 17 peers, as well as 'Peer Industry' and 'Peer Industry less OPG'.</t>
  </si>
  <si>
    <t xml:space="preserve">Step 2: Prepare data for the model (Row 5-19): </t>
  </si>
  <si>
    <t xml:space="preserve">This contains data including capacity, O&amp;M and net generation. All data here refers back to the full dataset in "TFP_dataset" tab, with the exception of O&amp;M Price Index, </t>
  </si>
  <si>
    <t xml:space="preserve">Step 7: Calculate TFP growth rates using 'average growth' and 'trend regression' methods (Row 97-112): </t>
  </si>
  <si>
    <t>Basic model logic:</t>
  </si>
  <si>
    <t>Note:</t>
  </si>
  <si>
    <t>compared on an equal basis. PPP was chosen over exchange rates as it better reflects underlying fundamentals (excluding speculation for example) and is less volatile.</t>
  </si>
  <si>
    <t xml:space="preserve">A PPP of 1.23 Canadian dollars per 1 US dollar was used to convert US peer O&amp;M costs and revenues to Canadian dollars so that that different peers can be </t>
  </si>
  <si>
    <t>Source: See StatsCan CANSIM Tables</t>
  </si>
  <si>
    <t>Source: See US BLS &amp; BEA tables</t>
  </si>
  <si>
    <r>
      <t xml:space="preserve">Note: </t>
    </r>
    <r>
      <rPr>
        <sz val="11"/>
        <rFont val="Book Antiqua"/>
        <family val="1"/>
      </rPr>
      <t xml:space="preserve">This workbook is colour coded as follows: (i) </t>
    </r>
    <r>
      <rPr>
        <sz val="11"/>
        <color rgb="FFFF0000"/>
        <rFont val="Book Antiqua"/>
        <family val="1"/>
      </rPr>
      <t>red for OPG data</t>
    </r>
    <r>
      <rPr>
        <sz val="11"/>
        <rFont val="Book Antiqua"/>
        <family val="1"/>
      </rPr>
      <t xml:space="preserve">; (ii) </t>
    </r>
    <r>
      <rPr>
        <sz val="11"/>
        <color rgb="FF0070C0"/>
        <rFont val="Book Antiqua"/>
        <family val="1"/>
      </rPr>
      <t>blue for US peer data</t>
    </r>
    <r>
      <rPr>
        <sz val="11"/>
        <rFont val="Book Antiqua"/>
        <family val="1"/>
      </rPr>
      <t xml:space="preserve">; (iii) </t>
    </r>
    <r>
      <rPr>
        <sz val="11"/>
        <color rgb="FF00B050"/>
        <rFont val="Book Antiqua"/>
        <family val="1"/>
      </rPr>
      <t>green for other third party data (e.g. EUCG, CANSIM)</t>
    </r>
    <r>
      <rPr>
        <sz val="11"/>
        <rFont val="Book Antiqua"/>
        <family val="1"/>
      </rPr>
      <t>; and (iv) black for calculated values</t>
    </r>
  </si>
  <si>
    <t>Source: OECD (http://stats.oecd.org/Index.aspx?DataSetCode=PPPGDP)</t>
  </si>
  <si>
    <t>Shows growth rates for all the indexes using both methods. Cell I112 highlights the average TFP index growth rate for 2002-2014, while cell D117 highlights the TFP growth rate using the 'trend regression' method</t>
  </si>
  <si>
    <t>Note: LEI derived the above tables from EUCG data</t>
  </si>
  <si>
    <t>OM&amp;A Cost</t>
  </si>
  <si>
    <t>Capacity</t>
  </si>
  <si>
    <t>OM&amp;A</t>
  </si>
  <si>
    <t>Weights</t>
  </si>
  <si>
    <t>Generation</t>
  </si>
  <si>
    <t>Plant Additions</t>
  </si>
  <si>
    <t>Gross Plant</t>
  </si>
  <si>
    <t>Total</t>
  </si>
  <si>
    <t>per kWh</t>
  </si>
  <si>
    <t>GDPIPI FDD</t>
  </si>
  <si>
    <t xml:space="preserve">http://archive.org/search.php?query=collection%3A%22toronto%22+AND+%28ontario+hydro+yearbook+AND+collection%3Atoronto%29&amp;sort=date </t>
  </si>
  <si>
    <t xml:space="preserve">ONTARIO HYDRO STATISTICAL YEARBOOK 1971 </t>
  </si>
  <si>
    <t xml:space="preserve">ONTARIO HYDRO STATISTICAL YEARBOOK 1973 </t>
  </si>
  <si>
    <t xml:space="preserve">ONTARIO HYDRO STATISTICAL YEARBOOK 1974 </t>
  </si>
  <si>
    <t xml:space="preserve">ONTARIO HYDRO STATISTICAL YEARBOOK 1975 </t>
  </si>
  <si>
    <t xml:space="preserve">ONTARIO HYDRO STATISTICAL YEARBOOK 1976 </t>
  </si>
  <si>
    <t xml:space="preserve">ONTARIO HYDRO STATISTICAL YEARBOOK 1977 </t>
  </si>
  <si>
    <t xml:space="preserve">ONTARIO HYDRO STATISTICAL YEARBOOK 1978 </t>
  </si>
  <si>
    <t xml:space="preserve">ONTARIO HYDRO STATISTICAL YEARBOOK 1979 </t>
  </si>
  <si>
    <t xml:space="preserve">ONTARIO HYDRO STATISTICAL YEARBOOK 1980 </t>
  </si>
  <si>
    <t xml:space="preserve">ONTARIO HYDRO STATISTICAL YEARBOOK 1981 </t>
  </si>
  <si>
    <t xml:space="preserve">ONTARIO HYDRO STATISTICAL YEARBOOK 1982 </t>
  </si>
  <si>
    <t xml:space="preserve">ONTARIO HYDRO STATISTICAL YEARBOOK 1983 </t>
  </si>
  <si>
    <t xml:space="preserve">ONTARIO HYDRO STATISTICAL YEARBOOK 1984 </t>
  </si>
  <si>
    <t xml:space="preserve">ONTARIO HYDRO STATISTICAL YEARBOOK 1985 </t>
  </si>
  <si>
    <t xml:space="preserve">ONTARIO HYDRO STATISTICAL YEARBOOK 1986 </t>
  </si>
  <si>
    <t xml:space="preserve">ONTARIO HYDRO STATISTICAL YEARBOOK 1987 </t>
  </si>
  <si>
    <t xml:space="preserve">ONTARIO HYDRO STATISTICAL YEARBOOK 1988 </t>
  </si>
  <si>
    <t xml:space="preserve">ONTARIO HYDRO STATISTICAL YEARBOOK 1989 </t>
  </si>
  <si>
    <t xml:space="preserve">ONTARIO HYDRO STATISTICAL YEARBOOK 1990 </t>
  </si>
  <si>
    <t xml:space="preserve">ONTARIO HYDRO STATISTICAL YEARBOOK 1991 </t>
  </si>
  <si>
    <t xml:space="preserve">ONTARIO HYDRO STATISTICAL YEARBOOK 1992 </t>
  </si>
  <si>
    <t xml:space="preserve">ONTARIO HYDRO STATISTICAL YEARBOOK 1993 </t>
  </si>
  <si>
    <t xml:space="preserve">ONTARIO HYDRO STATISTICAL YEARBOOK 1994 </t>
  </si>
  <si>
    <t xml:space="preserve">ONTARIO HYDRO STATISTICAL YEARBOOK 1995 </t>
  </si>
  <si>
    <t xml:space="preserve">ONTARIO HYDRO STATISTICAL YEARBOOK 1996 </t>
  </si>
  <si>
    <t xml:space="preserve">ONTARIO HYDRO STATISTICAL YEARBOOK 1997 </t>
  </si>
  <si>
    <t>Last Ontario Hydro Annual Report</t>
  </si>
  <si>
    <t>Cost</t>
  </si>
  <si>
    <t>Retirement Rate</t>
  </si>
  <si>
    <t>Depreciation Rate</t>
  </si>
  <si>
    <t>Ratio</t>
  </si>
  <si>
    <t>XK EOY</t>
  </si>
  <si>
    <t>PFP Capital</t>
  </si>
  <si>
    <t>PFP O&amp;M</t>
  </si>
  <si>
    <t>2003-2014</t>
  </si>
  <si>
    <t>1985-2014</t>
  </si>
  <si>
    <t>XK BOY</t>
  </si>
  <si>
    <t>XKA</t>
  </si>
  <si>
    <t>in 2014</t>
  </si>
  <si>
    <t>Percent of Total</t>
  </si>
  <si>
    <t>For Age Calculation</t>
  </si>
  <si>
    <t>Aveage Year in Service</t>
  </si>
  <si>
    <t>Remaining Life 1972</t>
  </si>
  <si>
    <t>Capacity by Year</t>
  </si>
  <si>
    <t>Depreciated Quantity</t>
  </si>
  <si>
    <t>Normal TWA</t>
  </si>
  <si>
    <t>Difference</t>
  </si>
  <si>
    <t>last 20</t>
  </si>
  <si>
    <t>first 20</t>
  </si>
  <si>
    <t>PCT401995</t>
  </si>
  <si>
    <t>Pre55</t>
  </si>
  <si>
    <t>Variations on the LEI work</t>
  </si>
  <si>
    <t>Aggregate Values</t>
  </si>
  <si>
    <t>O&amp;M Input</t>
  </si>
  <si>
    <t>Capital Input</t>
  </si>
  <si>
    <t>With Common Sample</t>
  </si>
  <si>
    <t>O&amp;M PFP</t>
  </si>
  <si>
    <t>Capital PFP</t>
  </si>
  <si>
    <t>Exclude</t>
  </si>
  <si>
    <t>N</t>
  </si>
  <si>
    <t>Average Values</t>
  </si>
  <si>
    <t>MFP</t>
  </si>
  <si>
    <t>1996-2014</t>
  </si>
  <si>
    <t>Capital Price</t>
  </si>
  <si>
    <t>year</t>
  </si>
  <si>
    <t>Generation Volume</t>
  </si>
  <si>
    <t>Input Quantitities</t>
  </si>
  <si>
    <t xml:space="preserve">growth </t>
  </si>
  <si>
    <t>Average Annual Growth Rates</t>
  </si>
  <si>
    <t>2003-2013</t>
  </si>
  <si>
    <t>Capital Input (capacity)</t>
  </si>
  <si>
    <t>Output (MWh)</t>
  </si>
  <si>
    <t>Capacity less MWh</t>
  </si>
  <si>
    <t>MFP Using Capacity in Place of MWh</t>
  </si>
  <si>
    <t>Average Annual Growth Rates:</t>
  </si>
  <si>
    <t>Input Quantities</t>
  </si>
  <si>
    <t>Table 1</t>
  </si>
  <si>
    <t>Structures</t>
  </si>
  <si>
    <t>Equipment</t>
  </si>
  <si>
    <t>CMP Style</t>
  </si>
  <si>
    <t>imputed dollars</t>
  </si>
  <si>
    <t>Dep amt</t>
  </si>
  <si>
    <t>Weight</t>
  </si>
  <si>
    <t>Service Life</t>
  </si>
  <si>
    <t>Declining Balance Parameter</t>
  </si>
  <si>
    <t>Economic Depreciation Rate</t>
  </si>
  <si>
    <t>Amount of Depreciation Generated</t>
  </si>
  <si>
    <t>Depreciation Rate Calculations Using OPG Provided Data</t>
  </si>
  <si>
    <t>Overall</t>
  </si>
  <si>
    <t>LE</t>
  </si>
  <si>
    <t>PEG</t>
  </si>
  <si>
    <t>company</t>
  </si>
  <si>
    <t>LE/PEG</t>
  </si>
  <si>
    <t>Total MWh for Common Sample</t>
  </si>
  <si>
    <t>AWE</t>
  </si>
  <si>
    <t>TFP Calculations for OPG</t>
  </si>
  <si>
    <t>Hydroelectric</t>
  </si>
  <si>
    <t>Acc. Depreciation</t>
  </si>
  <si>
    <t>Based on OPG data</t>
  </si>
  <si>
    <t>OPG 1985</t>
  </si>
  <si>
    <t>Ontario Hydro</t>
  </si>
  <si>
    <t>Benchmark Year Price</t>
  </si>
  <si>
    <t>Avg Age in 1972</t>
  </si>
  <si>
    <t>Range of equal</t>
  </si>
  <si>
    <t>incremental additions</t>
  </si>
  <si>
    <t>From</t>
  </si>
  <si>
    <t>Assumed for US</t>
  </si>
  <si>
    <t xml:space="preserve">to </t>
  </si>
  <si>
    <t>Years</t>
  </si>
  <si>
    <t>of 1972 plant</t>
  </si>
  <si>
    <t>Asset Price Index</t>
  </si>
  <si>
    <t>Benchmark Year</t>
  </si>
  <si>
    <t>Average Price</t>
  </si>
  <si>
    <t>Checksum</t>
  </si>
  <si>
    <t>Sum of Remaining Life</t>
  </si>
  <si>
    <t>Canada - US</t>
  </si>
  <si>
    <t>Adjusted for Canada</t>
  </si>
  <si>
    <t>Check</t>
  </si>
  <si>
    <t>FRED Graph Observations</t>
  </si>
  <si>
    <t>Federal Reserve Economic Data</t>
  </si>
  <si>
    <t>Link: https://fred.stlouisfed.org</t>
  </si>
  <si>
    <t>Help: https://fred.stlouisfed.org/help-faq</t>
  </si>
  <si>
    <t>Economic Research Division</t>
  </si>
  <si>
    <t>Federal Reserve Bank of St. Louis</t>
  </si>
  <si>
    <t>CANGDPDEFQISMEI</t>
  </si>
  <si>
    <t>GDP Implicit Price Deflator in Canada©, Index 2010=100, Quarterly, Seasonally Adjusted</t>
  </si>
  <si>
    <t>Frequency: Quarterly</t>
  </si>
  <si>
    <t>observation_date</t>
  </si>
  <si>
    <t>Economy Wide Inflation</t>
  </si>
  <si>
    <t>Canada (GDP IPD)</t>
  </si>
  <si>
    <t>US (GDP PI)</t>
  </si>
  <si>
    <t>Adjustment</t>
  </si>
  <si>
    <t>Construction Cost</t>
  </si>
  <si>
    <t>Midwest US Hydroelectric Construction Cost Index Adjusted for Canada vs. US average inflation</t>
  </si>
  <si>
    <t>Rate of Return</t>
  </si>
  <si>
    <t>Capital Cost</t>
  </si>
  <si>
    <t>OM&amp;A Price Index</t>
  </si>
  <si>
    <t>Price</t>
  </si>
  <si>
    <t xml:space="preserve">O&amp;M </t>
  </si>
  <si>
    <t>Percent of</t>
  </si>
  <si>
    <t>BM XK</t>
  </si>
  <si>
    <t>capacity Weight by Year</t>
  </si>
  <si>
    <t>Gross</t>
  </si>
  <si>
    <t>net Stock</t>
  </si>
  <si>
    <t>Due to be replaced 2016-2021</t>
  </si>
  <si>
    <t>Replacement</t>
  </si>
  <si>
    <t>5 yrs starting</t>
  </si>
  <si>
    <t>19 years starting</t>
  </si>
  <si>
    <t xml:space="preserve">OPG </t>
  </si>
  <si>
    <t>Table 380-0066 Price indexes, gross domestic product, annual (2007=100)</t>
  </si>
  <si>
    <t>Survey or program details:</t>
  </si>
  <si>
    <t>National Gross Domestic Product by Income and by Expenditure Accounts - 1901</t>
  </si>
  <si>
    <t>Geography</t>
  </si>
  <si>
    <t>Estimates</t>
  </si>
  <si>
    <t>Implicit price indexes</t>
  </si>
  <si>
    <t>Final domestic demand</t>
  </si>
  <si>
    <t>Statistics Canada. Table 380-0066 - Price indexes, gross domestic product, annual (2007=100 unless otherwise noted)</t>
  </si>
  <si>
    <t>(accessed: November 20, 2016)</t>
  </si>
  <si>
    <t>similar trend historically</t>
  </si>
  <si>
    <t>(MW)</t>
  </si>
  <si>
    <t>Standard</t>
  </si>
  <si>
    <t>Capacity Based Weight by Year</t>
  </si>
  <si>
    <r>
      <t>OPG's Productivity Growth Using LEI's Methods</t>
    </r>
    <r>
      <rPr>
        <b/>
        <vertAlign val="superscript"/>
        <sz val="18"/>
        <rFont val="Arial"/>
        <family val="2"/>
      </rPr>
      <t>1</t>
    </r>
  </si>
  <si>
    <t>Nameplate</t>
  </si>
  <si>
    <t>Remaining</t>
  </si>
  <si>
    <t>Replacement Net</t>
  </si>
  <si>
    <t>Net Stock w/o R</t>
  </si>
  <si>
    <t>Net</t>
  </si>
  <si>
    <t>Year 73</t>
  </si>
  <si>
    <t>10 years starting</t>
  </si>
  <si>
    <t>Measure</t>
  </si>
  <si>
    <t>Gross Plant Contracted</t>
  </si>
  <si>
    <t>Percent</t>
  </si>
  <si>
    <t>Contracted</t>
  </si>
  <si>
    <t>Capacity Contracted</t>
  </si>
  <si>
    <t>Unadjusted</t>
  </si>
  <si>
    <t>Shutdowns and Divestitures</t>
  </si>
  <si>
    <t>Toronto</t>
  </si>
  <si>
    <t>Aubrey</t>
  </si>
  <si>
    <t>Rayner</t>
  </si>
  <si>
    <t>Red Rock</t>
  </si>
  <si>
    <t>Total of Sold Units</t>
  </si>
  <si>
    <t>Sold in 2002</t>
  </si>
  <si>
    <t>2002 Capacity</t>
  </si>
  <si>
    <t>Pre-2011 adjustment</t>
  </si>
  <si>
    <t>Capacity Sold</t>
  </si>
  <si>
    <t>Pre-2002 Adjustment</t>
  </si>
  <si>
    <t>Contracted in 2011</t>
  </si>
  <si>
    <t>Remove from pre-2002</t>
  </si>
  <si>
    <t>Remove from pre-2011</t>
  </si>
  <si>
    <t>Total MW in 2002</t>
  </si>
  <si>
    <t>Includes Adjustment for contracted and sold plant</t>
  </si>
  <si>
    <t>Avg LE Weights</t>
  </si>
  <si>
    <r>
      <rPr>
        <vertAlign val="superscript"/>
        <sz val="10"/>
        <rFont val="Calibri"/>
        <family val="2"/>
        <scheme val="minor"/>
      </rPr>
      <t>1</t>
    </r>
    <r>
      <rPr>
        <sz val="10"/>
        <rFont val="Calibri"/>
        <family val="2"/>
        <scheme val="minor"/>
      </rPr>
      <t xml:space="preserve"> Growth rates are calculated logarithmically.</t>
    </r>
  </si>
  <si>
    <r>
      <rPr>
        <vertAlign val="superscript"/>
        <sz val="11"/>
        <rFont val="Calibri"/>
        <family val="2"/>
        <scheme val="minor"/>
      </rPr>
      <t>1</t>
    </r>
    <r>
      <rPr>
        <sz val="11"/>
        <rFont val="Calibri"/>
        <family val="2"/>
        <scheme val="minor"/>
      </rPr>
      <t xml:space="preserve"> Growth rates are calculated logarithmically.</t>
    </r>
  </si>
  <si>
    <t>Added by PEG</t>
  </si>
  <si>
    <t>See Row</t>
  </si>
  <si>
    <t>Rows modified</t>
  </si>
  <si>
    <t>by PEG to</t>
  </si>
  <si>
    <t>Exclude Companies?</t>
  </si>
  <si>
    <t>These values are obtained by choosing "Y" in cell E218 of the TFP_Calc worksheet</t>
  </si>
  <si>
    <t>This uses the "common sample" that excludes OPG, and US companies that do not file a Form 1</t>
  </si>
  <si>
    <t>The values were pasted from the panel to the left</t>
  </si>
  <si>
    <t>These values will change depending on what is entered in cell E218 of the TFP_Calc worksheet</t>
  </si>
  <si>
    <t>A "N" will produce the Orignal LEI results</t>
  </si>
  <si>
    <t>A "Y" will produce alternate results for the common sample</t>
  </si>
  <si>
    <t>Cost / Price</t>
  </si>
  <si>
    <t>MWH / O&amp;M Quantity</t>
  </si>
  <si>
    <t>MWH / Capacity</t>
  </si>
  <si>
    <t>OPG TFP</t>
  </si>
  <si>
    <t xml:space="preserve">Index </t>
  </si>
  <si>
    <t>Number</t>
  </si>
  <si>
    <t xml:space="preserve">growth(MW) </t>
  </si>
  <si>
    <t>less</t>
  </si>
  <si>
    <t>growth(O&amp;M Quantity)</t>
  </si>
  <si>
    <t>growth(Cap Quantity)</t>
  </si>
  <si>
    <t>Weighted Average of PFP growth</t>
  </si>
  <si>
    <t>for O&amp;M and Capital</t>
  </si>
  <si>
    <t>see table 6</t>
  </si>
  <si>
    <t>Adjustment for Plant Sold or Contracted</t>
  </si>
  <si>
    <t xml:space="preserve">Still owned </t>
  </si>
  <si>
    <t>Start of Year Capital Quantity</t>
  </si>
  <si>
    <t>End of Year Capital Quantity</t>
  </si>
  <si>
    <t>Yearbooks</t>
  </si>
  <si>
    <t>Formula</t>
  </si>
  <si>
    <t>Statistics</t>
  </si>
  <si>
    <t>OPG Table 6A</t>
  </si>
  <si>
    <t>OPG Table 5A</t>
  </si>
  <si>
    <t>1972 data in 1973 Volume</t>
  </si>
  <si>
    <t>similar</t>
  </si>
  <si>
    <t>Multiply to adjust pre-2002 data</t>
  </si>
  <si>
    <t>Multiply to adjust 2002-2011 data</t>
  </si>
  <si>
    <t>See Benchmark Year Price</t>
  </si>
  <si>
    <t>See Depreciation Rate</t>
  </si>
  <si>
    <t>LEI</t>
  </si>
  <si>
    <t>Difference Between LEI and PEG MWh Data</t>
  </si>
  <si>
    <t>Links to Ontario Hydro Statistical Yearbooks</t>
  </si>
  <si>
    <t>Fixed Assets</t>
  </si>
  <si>
    <t>Formula (Tornqvist Index)</t>
  </si>
  <si>
    <t>Percent of 1972 Total in Service</t>
  </si>
  <si>
    <t>Post 72</t>
  </si>
  <si>
    <t>Pre 72</t>
  </si>
  <si>
    <t>For Benchmark Year Price</t>
  </si>
  <si>
    <t>History of OPG Capacity Additions</t>
  </si>
  <si>
    <t>Standard TWA Weight by Year</t>
  </si>
  <si>
    <t>Calculation of the Benchmark Year Asset Price</t>
  </si>
  <si>
    <t>Construction of the Asset Price Index</t>
  </si>
  <si>
    <t>Handy Whitman Index for Hydroelectric Construction Cost (Midwest Region)</t>
  </si>
  <si>
    <t>Dollars *</t>
  </si>
  <si>
    <t>Service Life *</t>
  </si>
  <si>
    <t>*Source: OPG EB-2013-0321 Ex F5-3-1</t>
  </si>
  <si>
    <t>The declining balance parameters are those used</t>
  </si>
  <si>
    <t>by the US Bureau of Economic Analysis</t>
  </si>
  <si>
    <t>Source: EB-2016-0152 Exhibit L, Tab 11.1 Schedule 15 SEC-097 Attachement 1</t>
  </si>
  <si>
    <t>Capacity*</t>
  </si>
  <si>
    <t>Original In Service Date*</t>
  </si>
  <si>
    <t>Source: 1985 Ontario Hydro Statistical Yearbook p 58-59</t>
  </si>
  <si>
    <t>Ratio of retirements to beginning of year hydro plant</t>
  </si>
  <si>
    <t>TFP _Dataset</t>
  </si>
  <si>
    <t>Plant Retirements</t>
  </si>
  <si>
    <t>Lagged Construction</t>
  </si>
  <si>
    <t>Cost Index</t>
  </si>
  <si>
    <t>Quantity of Plant</t>
  </si>
  <si>
    <t>Retired</t>
  </si>
  <si>
    <t>(One-Hoss Shay Capital Quantity)</t>
  </si>
  <si>
    <t>Undepreciated Weights</t>
  </si>
  <si>
    <t>Capacity Based Weight for 1HS</t>
  </si>
  <si>
    <t>1HS</t>
  </si>
  <si>
    <r>
      <t>OPG's Productivity Growth Using Capacity as Output and a One-Hoss Shay Capital Quantity Index</t>
    </r>
    <r>
      <rPr>
        <b/>
        <vertAlign val="superscript"/>
        <sz val="16"/>
        <rFont val="Arial"/>
        <family val="2"/>
      </rPr>
      <t>1</t>
    </r>
  </si>
  <si>
    <t>Table 6A</t>
  </si>
  <si>
    <t>--&gt; Table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</si>
</sst>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_(* \(#,##0.00\);_(* &quot;-&quot;??_);_(@_)"/>
    <numFmt numFmtId="164" formatCode="_(* #,##0_);_(* \(#,##0\);_(* &quot;-&quot;??_);_(@_)"/>
    <numFmt numFmtId="165" formatCode="0.000"/>
    <numFmt numFmtId="166" formatCode="0.0%"/>
    <numFmt numFmtId="167" formatCode="_(* #,##0.000_);_(* \(#,##0.000\);_(* &quot;-&quot;??_);_(@_)"/>
    <numFmt numFmtId="168" formatCode="_(* #,##0.0000_);_(* \(#,##0.0000\);_(* &quot;-&quot;??_);_(@_)"/>
    <numFmt numFmtId="169" formatCode="[$-409]mmmm\ d\,\ yyyy;@"/>
    <numFmt numFmtId="170" formatCode="#0.0"/>
    <numFmt numFmtId="171" formatCode="_(* #,##0.0_);_(* \(#,##0.0\);_(* &quot;-&quot;??_);_(@_)"/>
    <numFmt numFmtId="172" formatCode="_(* #,##0_);_(* \(#,##0\);_(* &quot;-&quot;???_);_(@_)"/>
    <numFmt numFmtId="173" formatCode="0.0000%"/>
    <numFmt numFmtId="174" formatCode="0.000000000000000%"/>
    <numFmt numFmtId="175" formatCode="0.000%"/>
    <numFmt numFmtId="176" formatCode="0.0"/>
    <numFmt numFmtId="177" formatCode="yyyy\-mm\-dd"/>
    <numFmt numFmtId="178" formatCode="0.0000000000000"/>
    <numFmt numFmtId="179" formatCode="#,##0.000_);\(#,##0.000\)"/>
  </numFmts>
  <fonts count="1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Book Antiqua"/>
      <family val="1"/>
    </font>
    <font>
      <sz val="10"/>
      <name val="Book Antiqua"/>
      <family val="1"/>
    </font>
    <font>
      <sz val="10"/>
      <name val="Arial"/>
      <family val="2"/>
    </font>
    <font>
      <b/>
      <sz val="10"/>
      <name val="Book Antiqua"/>
      <family val="1"/>
    </font>
    <font>
      <sz val="10"/>
      <color theme="0"/>
      <name val="Book Antiqua"/>
      <family val="1"/>
    </font>
    <font>
      <b/>
      <sz val="8"/>
      <color indexed="81"/>
      <name val="Tahoma"/>
      <family val="2"/>
    </font>
    <font>
      <sz val="8"/>
      <color indexed="81"/>
      <name val="Tahoma"/>
      <family val="2"/>
    </font>
    <font>
      <b/>
      <sz val="12"/>
      <color theme="0"/>
      <name val="Arial"/>
      <family val="2"/>
    </font>
    <font>
      <sz val="12"/>
      <name val="Arial"/>
      <family val="2"/>
    </font>
    <font>
      <b/>
      <i/>
      <sz val="10"/>
      <color theme="9"/>
      <name val="Arial"/>
      <family val="2"/>
    </font>
    <font>
      <b/>
      <i/>
      <sz val="10"/>
      <name val="Book Antiqua"/>
      <family val="1"/>
    </font>
    <font>
      <b/>
      <sz val="10"/>
      <color rgb="FF000000"/>
      <name val="Verdana"/>
      <family val="2"/>
    </font>
    <font>
      <b/>
      <sz val="10"/>
      <color rgb="FF333333"/>
      <name val="Arial"/>
      <family val="2"/>
    </font>
    <font>
      <b/>
      <vertAlign val="superscript"/>
      <sz val="10"/>
      <color rgb="FF333333"/>
      <name val="Arial"/>
      <family val="2"/>
    </font>
    <font>
      <b/>
      <vertAlign val="superscript"/>
      <sz val="10"/>
      <color rgb="FF5A306B"/>
      <name val="Verdana"/>
      <family val="2"/>
    </font>
    <font>
      <b/>
      <sz val="15"/>
      <color rgb="FF333333"/>
      <name val="Arial"/>
      <family val="2"/>
    </font>
    <font>
      <b/>
      <sz val="11"/>
      <color rgb="FF333333"/>
      <name val="Arial"/>
      <family val="2"/>
    </font>
    <font>
      <b/>
      <vertAlign val="superscript"/>
      <sz val="12"/>
      <color rgb="FF333333"/>
      <name val="Arial"/>
      <family val="2"/>
    </font>
    <font>
      <b/>
      <vertAlign val="superscript"/>
      <sz val="12"/>
      <color rgb="FF5A306B"/>
      <name val="Verdana"/>
      <family val="2"/>
    </font>
    <font>
      <b/>
      <sz val="10"/>
      <color rgb="FF333333"/>
      <name val="Verdana"/>
      <family val="2"/>
    </font>
    <font>
      <sz val="10"/>
      <color rgb="FF000000"/>
      <name val="Verdana"/>
      <family val="2"/>
    </font>
    <font>
      <b/>
      <i/>
      <sz val="10"/>
      <color rgb="FF222222"/>
      <name val="Verdana"/>
      <family val="2"/>
    </font>
    <font>
      <b/>
      <i/>
      <vertAlign val="superscript"/>
      <sz val="8"/>
      <color rgb="FF222222"/>
      <name val="Verdana"/>
      <family val="2"/>
    </font>
    <font>
      <b/>
      <i/>
      <vertAlign val="superscript"/>
      <sz val="8"/>
      <color rgb="FF5A306B"/>
      <name val="Verdana"/>
      <family val="2"/>
    </font>
    <font>
      <b/>
      <sz val="10"/>
      <color rgb="FF222222"/>
      <name val="Verdana"/>
      <family val="2"/>
    </font>
    <font>
      <b/>
      <i/>
      <sz val="10"/>
      <color rgb="FF000000"/>
      <name val="Verdana"/>
      <family val="2"/>
    </font>
    <font>
      <b/>
      <vertAlign val="superscript"/>
      <sz val="8"/>
      <color rgb="FF222222"/>
      <name val="Verdana"/>
      <family val="2"/>
    </font>
    <font>
      <b/>
      <vertAlign val="superscript"/>
      <sz val="8"/>
      <color rgb="FF5A306B"/>
      <name val="Verdana"/>
      <family val="2"/>
    </font>
    <font>
      <b/>
      <sz val="10"/>
      <color rgb="FF5A306B"/>
      <name val="Verdana"/>
      <family val="2"/>
    </font>
    <font>
      <b/>
      <u/>
      <sz val="10"/>
      <color rgb="FF666666"/>
      <name val="Verdana"/>
      <family val="2"/>
    </font>
    <font>
      <u/>
      <sz val="10"/>
      <color indexed="12"/>
      <name val="Arial"/>
      <family val="2"/>
    </font>
    <font>
      <i/>
      <sz val="10"/>
      <color rgb="FF000000"/>
      <name val="Verdana"/>
      <family val="2"/>
    </font>
    <font>
      <b/>
      <i/>
      <sz val="11"/>
      <color theme="9" tint="-0.249977111117893"/>
      <name val="Book Antiqua"/>
      <family val="1"/>
    </font>
    <font>
      <b/>
      <sz val="12"/>
      <color rgb="FF333333"/>
      <name val="Arial"/>
      <family val="2"/>
    </font>
    <font>
      <sz val="10"/>
      <color theme="8"/>
      <name val="Arial"/>
      <family val="2"/>
    </font>
    <font>
      <b/>
      <sz val="14"/>
      <color theme="0"/>
      <name val="Lucida Sans"/>
      <family val="2"/>
    </font>
    <font>
      <b/>
      <sz val="12"/>
      <color theme="0"/>
      <name val="Lucida Sans"/>
      <family val="2"/>
    </font>
    <font>
      <b/>
      <i/>
      <sz val="12"/>
      <color theme="0"/>
      <name val="Lucida Sans"/>
      <family val="2"/>
    </font>
    <font>
      <b/>
      <sz val="12"/>
      <name val="Lucida Sans"/>
      <family val="2"/>
    </font>
    <font>
      <i/>
      <sz val="9"/>
      <color theme="1"/>
      <name val="Lucida Sans"/>
      <family val="2"/>
    </font>
    <font>
      <b/>
      <i/>
      <sz val="12"/>
      <name val="Lucida Sans"/>
      <family val="2"/>
    </font>
    <font>
      <b/>
      <sz val="11"/>
      <color theme="1"/>
      <name val="Calibri"/>
      <family val="2"/>
      <scheme val="minor"/>
    </font>
    <font>
      <b/>
      <sz val="10"/>
      <color theme="1"/>
      <name val="Calibri"/>
      <family val="2"/>
      <scheme val="minor"/>
    </font>
    <font>
      <u/>
      <sz val="11"/>
      <color theme="10"/>
      <name val="Calibri"/>
      <family val="2"/>
      <scheme val="minor"/>
    </font>
    <font>
      <b/>
      <sz val="14"/>
      <name val="Arial"/>
      <family val="2"/>
    </font>
    <font>
      <sz val="13"/>
      <name val="Arial"/>
      <family val="2"/>
    </font>
    <font>
      <b/>
      <sz val="11"/>
      <color theme="0"/>
      <name val="Calibri"/>
      <family val="2"/>
      <scheme val="minor"/>
    </font>
    <font>
      <sz val="9"/>
      <color theme="1"/>
      <name val="Lucida Sans"/>
      <family val="2"/>
    </font>
    <font>
      <sz val="10"/>
      <color theme="8"/>
      <name val="Book Antiqua"/>
      <family val="1"/>
    </font>
    <font>
      <b/>
      <sz val="16"/>
      <color theme="1"/>
      <name val="Book Antiqua"/>
      <family val="1"/>
    </font>
    <font>
      <sz val="12"/>
      <color theme="1"/>
      <name val="Book Antiqua"/>
      <family val="1"/>
    </font>
    <font>
      <sz val="11"/>
      <color theme="1"/>
      <name val="Book Antiqua"/>
      <family val="1"/>
    </font>
    <font>
      <b/>
      <sz val="11"/>
      <color theme="1"/>
      <name val="Book Antiqua"/>
      <family val="1"/>
    </font>
    <font>
      <i/>
      <sz val="12"/>
      <color theme="1"/>
      <name val="Book Antiqua"/>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1"/>
      <color theme="1"/>
      <name val="Book Antiqua"/>
      <family val="1"/>
    </font>
    <font>
      <sz val="11"/>
      <name val="Book Antiqua"/>
      <family val="1"/>
    </font>
    <font>
      <sz val="11"/>
      <color theme="0"/>
      <name val="Book Antiqua"/>
      <family val="1"/>
    </font>
    <font>
      <sz val="11"/>
      <name val="Calibri"/>
      <family val="2"/>
    </font>
    <font>
      <b/>
      <u/>
      <sz val="11"/>
      <name val="Book Antiqua"/>
      <family val="1"/>
    </font>
    <font>
      <b/>
      <sz val="11"/>
      <name val="Book Antiqua"/>
      <family val="1"/>
    </font>
    <font>
      <b/>
      <sz val="10"/>
      <color theme="1"/>
      <name val="Book Antiqua"/>
      <family val="1"/>
    </font>
    <font>
      <b/>
      <u/>
      <sz val="10"/>
      <color theme="1"/>
      <name val="Book Antiqua"/>
      <family val="1"/>
    </font>
    <font>
      <sz val="10"/>
      <color theme="1"/>
      <name val="Book Antiqua"/>
      <family val="1"/>
    </font>
    <font>
      <sz val="10"/>
      <name val="Arial"/>
      <family val="2"/>
    </font>
    <font>
      <sz val="11"/>
      <color indexed="8"/>
      <name val="Calibri"/>
      <family val="2"/>
      <scheme val="minor"/>
    </font>
    <font>
      <b/>
      <sz val="12"/>
      <color indexed="8"/>
      <name val="Arial"/>
      <family val="2"/>
    </font>
    <font>
      <sz val="10"/>
      <color indexed="8"/>
      <name val="Arial"/>
      <family val="2"/>
    </font>
    <font>
      <b/>
      <sz val="10"/>
      <color indexed="8"/>
      <name val="Arial"/>
      <family val="2"/>
    </font>
    <font>
      <b/>
      <sz val="11"/>
      <color indexed="8"/>
      <name val="Calibri"/>
      <family val="2"/>
      <scheme val="minor"/>
    </font>
    <font>
      <i/>
      <sz val="11"/>
      <color theme="1"/>
      <name val="Calibri"/>
      <family val="2"/>
      <scheme val="minor"/>
    </font>
    <font>
      <i/>
      <sz val="10"/>
      <name val="Arial"/>
      <family val="2"/>
    </font>
    <font>
      <b/>
      <i/>
      <sz val="11"/>
      <color theme="1"/>
      <name val="Calibri"/>
      <family val="2"/>
      <scheme val="minor"/>
    </font>
    <font>
      <sz val="10"/>
      <name val="Arial"/>
      <family val="2"/>
    </font>
    <font>
      <b/>
      <sz val="13"/>
      <color rgb="FF666666"/>
      <name val="Verdana"/>
      <family val="2"/>
    </font>
    <font>
      <sz val="10"/>
      <color rgb="FF0070C0"/>
      <name val="Book Antiqua"/>
      <family val="1"/>
    </font>
    <font>
      <sz val="10"/>
      <color rgb="FF00B050"/>
      <name val="Book Antiqua"/>
      <family val="1"/>
    </font>
    <font>
      <sz val="10"/>
      <color rgb="FF00B050"/>
      <name val="Arial"/>
      <family val="2"/>
    </font>
    <font>
      <sz val="10"/>
      <color rgb="FF00B050"/>
      <name val="Verdana"/>
      <family val="2"/>
    </font>
    <font>
      <vertAlign val="superscript"/>
      <sz val="8"/>
      <color rgb="FF00B050"/>
      <name val="Verdana"/>
      <family val="2"/>
    </font>
    <font>
      <sz val="11"/>
      <color rgb="FF00B050"/>
      <name val="Calibri"/>
      <family val="2"/>
      <scheme val="minor"/>
    </font>
    <font>
      <sz val="10"/>
      <color rgb="FFFF0000"/>
      <name val="Book Antiqua"/>
      <family val="1"/>
    </font>
    <font>
      <sz val="10"/>
      <color rgb="FFFF0000"/>
      <name val="Arial"/>
      <family val="2"/>
    </font>
    <font>
      <sz val="11"/>
      <color rgb="FFFF0000"/>
      <name val="Book Antiqua"/>
      <family val="1"/>
    </font>
    <font>
      <sz val="11"/>
      <color rgb="FF0070C0"/>
      <name val="Book Antiqua"/>
      <family val="1"/>
    </font>
    <font>
      <sz val="11"/>
      <color rgb="FF00B050"/>
      <name val="Book Antiqua"/>
      <family val="1"/>
    </font>
    <font>
      <sz val="10"/>
      <name val="Verdana"/>
      <family val="2"/>
    </font>
    <font>
      <b/>
      <sz val="10"/>
      <name val="Arial"/>
      <family val="2"/>
    </font>
    <font>
      <sz val="11"/>
      <name val="Calibri"/>
      <family val="2"/>
      <scheme val="minor"/>
    </font>
    <font>
      <sz val="8"/>
      <name val="Arial"/>
      <family val="2"/>
    </font>
    <font>
      <b/>
      <sz val="11"/>
      <name val="Calibri"/>
      <family val="2"/>
      <scheme val="minor"/>
    </font>
    <font>
      <b/>
      <i/>
      <sz val="10"/>
      <name val="Arial"/>
      <family val="2"/>
    </font>
    <font>
      <sz val="10"/>
      <name val="Calibri"/>
      <family val="2"/>
      <scheme val="minor"/>
    </font>
    <font>
      <b/>
      <sz val="11"/>
      <color rgb="FFFF0000"/>
      <name val="Calibri"/>
      <family val="2"/>
      <scheme val="minor"/>
    </font>
    <font>
      <b/>
      <sz val="16"/>
      <name val="Arial"/>
      <family val="2"/>
    </font>
    <font>
      <b/>
      <vertAlign val="superscript"/>
      <sz val="16"/>
      <name val="Arial"/>
      <family val="2"/>
    </font>
    <font>
      <b/>
      <sz val="18"/>
      <name val="Arial"/>
      <family val="2"/>
    </font>
    <font>
      <b/>
      <vertAlign val="superscript"/>
      <sz val="18"/>
      <name val="Arial"/>
      <family val="2"/>
    </font>
    <font>
      <b/>
      <sz val="16"/>
      <name val="Calibri"/>
      <family val="2"/>
      <scheme val="minor"/>
    </font>
    <font>
      <sz val="11"/>
      <name val="Arial"/>
      <family val="2"/>
    </font>
    <font>
      <vertAlign val="superscript"/>
      <sz val="10"/>
      <name val="Calibri"/>
      <family val="2"/>
      <scheme val="minor"/>
    </font>
    <font>
      <vertAlign val="superscript"/>
      <sz val="11"/>
      <name val="Calibri"/>
      <family val="2"/>
      <scheme val="minor"/>
    </font>
    <font>
      <sz val="10"/>
      <color rgb="FFFF0000"/>
      <name val="Arial"/>
      <family val="2"/>
    </font>
    <font>
      <b/>
      <sz val="12"/>
      <name val="Arial"/>
      <family val="2"/>
    </font>
    <font>
      <sz val="10"/>
      <color theme="0"/>
      <name val="Arial"/>
      <family val="2"/>
    </font>
  </fonts>
  <fills count="64">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rgb="FFFFFF99"/>
        <bgColor indexed="64"/>
      </patternFill>
    </fill>
    <fill>
      <patternFill patternType="solid">
        <fgColor theme="4" tint="0.79998168889431442"/>
        <bgColor indexed="64"/>
      </patternFill>
    </fill>
    <fill>
      <patternFill patternType="solid">
        <fgColor rgb="FFEEEEEE"/>
        <bgColor indexed="64"/>
      </patternFill>
    </fill>
    <fill>
      <patternFill patternType="solid">
        <fgColor rgb="FFFFFFFF"/>
        <bgColor indexed="64"/>
      </patternFill>
    </fill>
    <fill>
      <patternFill patternType="solid">
        <fgColor rgb="FFCCCCCC"/>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2F2F2"/>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050"/>
        <bgColor indexed="64"/>
      </patternFill>
    </fill>
    <fill>
      <patternFill patternType="solid">
        <fgColor rgb="FF00B0F0"/>
        <bgColor indexed="64"/>
      </patternFill>
    </fill>
  </fills>
  <borders count="5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medium">
        <color rgb="FFD4D4D4"/>
      </left>
      <right style="medium">
        <color rgb="FFD4D4D4"/>
      </right>
      <top style="medium">
        <color rgb="FFD4D4D4"/>
      </top>
      <bottom style="medium">
        <color rgb="FFD4D4D4"/>
      </bottom>
      <diagonal/>
    </border>
    <border>
      <left style="medium">
        <color rgb="FFD4D4D4"/>
      </left>
      <right/>
      <top style="medium">
        <color rgb="FFD4D4D4"/>
      </top>
      <bottom style="medium">
        <color rgb="FFD4D4D4"/>
      </bottom>
      <diagonal/>
    </border>
    <border>
      <left/>
      <right/>
      <top/>
      <bottom style="thin">
        <color auto="1"/>
      </bottom>
      <diagonal/>
    </border>
    <border>
      <left/>
      <right style="thin">
        <color auto="1"/>
      </right>
      <top/>
      <bottom style="thin">
        <color auto="1"/>
      </bottom>
      <diagonal/>
    </border>
    <border>
      <left/>
      <right style="medium">
        <color rgb="FFD4D4D4"/>
      </right>
      <top style="medium">
        <color rgb="FFD4D4D4"/>
      </top>
      <bottom style="medium">
        <color rgb="FFD4D4D4"/>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ck">
        <color auto="1"/>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bottom style="double">
        <color indexed="64"/>
      </bottom>
      <diagonal/>
    </border>
  </borders>
  <cellStyleXfs count="94">
    <xf numFmtId="0" fontId="0" fillId="0" borderId="0"/>
    <xf numFmtId="43" fontId="14" fillId="0" borderId="0" applyFont="0" applyFill="0" applyBorder="0" applyAlignment="0" applyProtection="0"/>
    <xf numFmtId="9" fontId="14" fillId="0" borderId="0" applyFont="0" applyFill="0" applyBorder="0" applyAlignment="0" applyProtection="0"/>
    <xf numFmtId="0" fontId="42" fillId="0" borderId="0" applyNumberFormat="0" applyFill="0" applyBorder="0" applyAlignment="0" applyProtection="0">
      <alignment vertical="top"/>
      <protection locked="0"/>
    </xf>
    <xf numFmtId="0" fontId="11" fillId="0" borderId="0"/>
    <xf numFmtId="43" fontId="11" fillId="0" borderId="0" applyFont="0" applyFill="0" applyBorder="0" applyAlignment="0" applyProtection="0"/>
    <xf numFmtId="9" fontId="11" fillId="0" borderId="0" applyFont="0" applyFill="0" applyBorder="0" applyAlignment="0" applyProtection="0"/>
    <xf numFmtId="0" fontId="55" fillId="0" borderId="0" applyNumberFormat="0" applyFill="0" applyBorder="0" applyAlignment="0" applyProtection="0"/>
    <xf numFmtId="0" fontId="14" fillId="0" borderId="0"/>
    <xf numFmtId="0" fontId="59" fillId="0" borderId="0"/>
    <xf numFmtId="9" fontId="10" fillId="0" borderId="0" applyFont="0" applyFill="0" applyBorder="0" applyAlignment="0" applyProtection="0"/>
    <xf numFmtId="43" fontId="59" fillId="0" borderId="0" applyFont="0" applyFill="0" applyBorder="0" applyAlignment="0" applyProtection="0"/>
    <xf numFmtId="0" fontId="66" fillId="0" borderId="0" applyNumberFormat="0" applyFill="0" applyBorder="0" applyAlignment="0" applyProtection="0"/>
    <xf numFmtId="0" fontId="67" fillId="0" borderId="32" applyNumberFormat="0" applyFill="0" applyAlignment="0" applyProtection="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70" fillId="20" borderId="0" applyNumberFormat="0" applyBorder="0" applyAlignment="0" applyProtection="0"/>
    <xf numFmtId="0" fontId="71" fillId="21" borderId="0" applyNumberFormat="0" applyBorder="0" applyAlignment="0" applyProtection="0"/>
    <xf numFmtId="0" fontId="72" fillId="22" borderId="0" applyNumberFormat="0" applyBorder="0" applyAlignment="0" applyProtection="0"/>
    <xf numFmtId="0" fontId="73" fillId="23" borderId="35" applyNumberFormat="0" applyAlignment="0" applyProtection="0"/>
    <xf numFmtId="0" fontId="74" fillId="24" borderId="36" applyNumberFormat="0" applyAlignment="0" applyProtection="0"/>
    <xf numFmtId="0" fontId="75" fillId="24" borderId="35" applyNumberFormat="0" applyAlignment="0" applyProtection="0"/>
    <xf numFmtId="0" fontId="76" fillId="0" borderId="37" applyNumberFormat="0" applyFill="0" applyAlignment="0" applyProtection="0"/>
    <xf numFmtId="0" fontId="58" fillId="25" borderId="38"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53" fillId="0" borderId="40" applyNumberFormat="0" applyFill="0" applyAlignment="0" applyProtection="0"/>
    <xf numFmtId="0" fontId="7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79" fillId="38" borderId="0" applyNumberFormat="0" applyBorder="0" applyAlignment="0" applyProtection="0"/>
    <xf numFmtId="0" fontId="7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79" fillId="42" borderId="0" applyNumberFormat="0" applyBorder="0" applyAlignment="0" applyProtection="0"/>
    <xf numFmtId="0" fontId="79"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79" fillId="50" borderId="0" applyNumberFormat="0" applyBorder="0" applyAlignment="0" applyProtection="0"/>
    <xf numFmtId="0" fontId="9" fillId="0" borderId="0"/>
    <xf numFmtId="43" fontId="9" fillId="0" borderId="0" applyFont="0" applyFill="0" applyBorder="0" applyAlignment="0" applyProtection="0"/>
    <xf numFmtId="0" fontId="9" fillId="26" borderId="39" applyNumberFormat="0" applyFont="0" applyAlignment="0" applyProtection="0"/>
    <xf numFmtId="0" fontId="8" fillId="0" borderId="0"/>
    <xf numFmtId="0" fontId="89" fillId="0" borderId="0"/>
    <xf numFmtId="0" fontId="90" fillId="0" borderId="0"/>
    <xf numFmtId="0" fontId="7" fillId="0" borderId="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98" fillId="0" borderId="0"/>
    <xf numFmtId="43" fontId="14"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26" borderId="39" applyNumberFormat="0" applyFont="0" applyAlignment="0" applyProtection="0"/>
    <xf numFmtId="0" fontId="7" fillId="0" borderId="0"/>
    <xf numFmtId="0" fontId="14" fillId="0" borderId="0"/>
    <xf numFmtId="0" fontId="14" fillId="0" borderId="0"/>
    <xf numFmtId="0" fontId="6" fillId="0" borderId="0"/>
    <xf numFmtId="9" fontId="6" fillId="0" borderId="0" applyFont="0" applyFill="0" applyBorder="0" applyAlignment="0" applyProtection="0"/>
    <xf numFmtId="0" fontId="5" fillId="0" borderId="0"/>
    <xf numFmtId="0" fontId="14" fillId="0" borderId="0"/>
    <xf numFmtId="0" fontId="14" fillId="0" borderId="0"/>
    <xf numFmtId="0" fontId="4" fillId="0" borderId="0"/>
    <xf numFmtId="0" fontId="3" fillId="0" borderId="0"/>
    <xf numFmtId="0" fontId="3" fillId="0" borderId="0"/>
    <xf numFmtId="0" fontId="2" fillId="0" borderId="0"/>
    <xf numFmtId="0" fontId="1" fillId="0" borderId="0"/>
  </cellStyleXfs>
  <cellXfs count="790">
    <xf numFmtId="0" fontId="0" fillId="0" borderId="0" xfId="0"/>
    <xf numFmtId="0" fontId="13" fillId="0" borderId="0" xfId="0" applyFont="1"/>
    <xf numFmtId="0" fontId="13" fillId="0" borderId="0" xfId="0" applyFont="1" applyAlignment="1">
      <alignment horizontal="center" vertical="center"/>
    </xf>
    <xf numFmtId="164" fontId="13" fillId="0" borderId="0" xfId="1" applyNumberFormat="1" applyFont="1" applyAlignment="1">
      <alignment horizontal="center" vertical="center"/>
    </xf>
    <xf numFmtId="43" fontId="13" fillId="0" borderId="0" xfId="0" applyNumberFormat="1" applyFont="1" applyAlignment="1">
      <alignment horizontal="center" vertical="center"/>
    </xf>
    <xf numFmtId="43" fontId="13" fillId="0" borderId="0" xfId="1" applyNumberFormat="1" applyFont="1" applyAlignment="1">
      <alignment horizontal="center" vertical="center"/>
    </xf>
    <xf numFmtId="2" fontId="13" fillId="0" borderId="0" xfId="0" applyNumberFormat="1" applyFont="1"/>
    <xf numFmtId="165" fontId="13" fillId="0" borderId="0" xfId="0" applyNumberFormat="1" applyFont="1"/>
    <xf numFmtId="164" fontId="13" fillId="0" borderId="0" xfId="1" applyNumberFormat="1" applyFont="1"/>
    <xf numFmtId="43" fontId="13" fillId="0" borderId="0" xfId="1" applyFont="1"/>
    <xf numFmtId="2" fontId="13" fillId="0" borderId="4" xfId="0" applyNumberFormat="1" applyFont="1" applyBorder="1"/>
    <xf numFmtId="2" fontId="13" fillId="0" borderId="0" xfId="0" applyNumberFormat="1" applyFont="1" applyBorder="1"/>
    <xf numFmtId="2" fontId="13" fillId="0" borderId="6" xfId="0" applyNumberFormat="1" applyFont="1" applyBorder="1"/>
    <xf numFmtId="2" fontId="13" fillId="0" borderId="7" xfId="0" applyNumberFormat="1" applyFont="1" applyBorder="1"/>
    <xf numFmtId="0" fontId="13" fillId="0" borderId="9" xfId="0" applyFont="1" applyBorder="1" applyAlignment="1">
      <alignment horizontal="center" vertical="center"/>
    </xf>
    <xf numFmtId="0" fontId="0" fillId="0" borderId="0" xfId="0" applyAlignment="1">
      <alignment horizontal="center" vertical="center"/>
    </xf>
    <xf numFmtId="0" fontId="12" fillId="4" borderId="0" xfId="0" applyFont="1" applyFill="1" applyAlignment="1">
      <alignment horizontal="center" vertical="center"/>
    </xf>
    <xf numFmtId="9" fontId="13" fillId="0" borderId="0" xfId="2" applyFont="1" applyAlignment="1">
      <alignment horizontal="center" vertical="center"/>
    </xf>
    <xf numFmtId="0" fontId="14" fillId="0" borderId="0" xfId="0" applyFont="1"/>
    <xf numFmtId="9" fontId="14" fillId="0" borderId="0" xfId="0" applyNumberFormat="1" applyFont="1" applyFill="1"/>
    <xf numFmtId="0" fontId="13" fillId="0" borderId="0" xfId="0" applyFont="1" applyAlignment="1">
      <alignment horizontal="center"/>
    </xf>
    <xf numFmtId="2" fontId="13" fillId="0" borderId="0" xfId="0" applyNumberFormat="1" applyFont="1" applyAlignment="1">
      <alignment horizontal="center"/>
    </xf>
    <xf numFmtId="43" fontId="13" fillId="0" borderId="0" xfId="1" applyFont="1" applyAlignment="1">
      <alignment horizontal="center"/>
    </xf>
    <xf numFmtId="0" fontId="19" fillId="2" borderId="0" xfId="0" applyFont="1" applyFill="1"/>
    <xf numFmtId="0" fontId="19" fillId="2" borderId="9" xfId="0" applyFont="1" applyFill="1" applyBorder="1"/>
    <xf numFmtId="0" fontId="19" fillId="2" borderId="0" xfId="0" applyFont="1" applyFill="1" applyBorder="1"/>
    <xf numFmtId="0" fontId="20" fillId="2" borderId="0" xfId="0" applyFont="1" applyFill="1"/>
    <xf numFmtId="0" fontId="19" fillId="0" borderId="0" xfId="0" applyFont="1" applyFill="1"/>
    <xf numFmtId="0" fontId="19" fillId="0" borderId="9" xfId="0" applyFont="1" applyFill="1" applyBorder="1"/>
    <xf numFmtId="0" fontId="19" fillId="0" borderId="0" xfId="0" applyFont="1" applyFill="1" applyBorder="1"/>
    <xf numFmtId="0" fontId="20" fillId="0" borderId="0" xfId="0" applyFont="1" applyFill="1"/>
    <xf numFmtId="0" fontId="21" fillId="0" borderId="0" xfId="0" applyFont="1" applyFill="1"/>
    <xf numFmtId="0" fontId="0" fillId="0" borderId="9" xfId="0" applyBorder="1"/>
    <xf numFmtId="0" fontId="0" fillId="0" borderId="0" xfId="0" applyBorder="1"/>
    <xf numFmtId="0" fontId="22" fillId="6" borderId="0" xfId="0" applyFont="1" applyFill="1"/>
    <xf numFmtId="0" fontId="0" fillId="6" borderId="0" xfId="0" applyFill="1"/>
    <xf numFmtId="0" fontId="0" fillId="6" borderId="9" xfId="0" applyFill="1" applyBorder="1"/>
    <xf numFmtId="0" fontId="0" fillId="6" borderId="0" xfId="0" applyFill="1" applyBorder="1"/>
    <xf numFmtId="0" fontId="0" fillId="0" borderId="0" xfId="0" applyFill="1"/>
    <xf numFmtId="0" fontId="23" fillId="6" borderId="0" xfId="0" applyFont="1" applyFill="1" applyBorder="1" applyAlignment="1"/>
    <xf numFmtId="0" fontId="24" fillId="6" borderId="0" xfId="0" applyFont="1" applyFill="1" applyBorder="1" applyAlignment="1"/>
    <xf numFmtId="0" fontId="31" fillId="0" borderId="0" xfId="0" applyFont="1" applyBorder="1" applyAlignment="1"/>
    <xf numFmtId="0" fontId="32" fillId="0" borderId="0" xfId="0" applyFont="1"/>
    <xf numFmtId="0" fontId="33" fillId="0" borderId="0" xfId="0" applyFont="1"/>
    <xf numFmtId="0" fontId="36" fillId="7" borderId="10" xfId="0" applyFont="1" applyFill="1" applyBorder="1" applyAlignment="1">
      <alignment horizontal="center" vertical="top"/>
    </xf>
    <xf numFmtId="0" fontId="36" fillId="7" borderId="11" xfId="0" applyFont="1" applyFill="1" applyBorder="1" applyAlignment="1">
      <alignment vertical="top" wrapText="1"/>
    </xf>
    <xf numFmtId="0" fontId="36" fillId="7" borderId="10" xfId="0" applyFont="1" applyFill="1" applyBorder="1" applyAlignment="1">
      <alignment horizontal="center" vertical="top" wrapText="1"/>
    </xf>
    <xf numFmtId="0" fontId="14" fillId="0" borderId="0" xfId="0" applyFont="1" applyBorder="1"/>
    <xf numFmtId="0" fontId="37" fillId="0" borderId="0" xfId="0" applyFont="1"/>
    <xf numFmtId="0" fontId="36" fillId="7" borderId="10" xfId="0" applyFont="1" applyFill="1" applyBorder="1" applyAlignment="1">
      <alignment horizontal="left" vertical="top"/>
    </xf>
    <xf numFmtId="0" fontId="36" fillId="8" borderId="10" xfId="0" applyFont="1" applyFill="1" applyBorder="1" applyAlignment="1">
      <alignment horizontal="left" vertical="center"/>
    </xf>
    <xf numFmtId="0" fontId="41" fillId="0" borderId="0" xfId="0" applyFont="1" applyAlignment="1">
      <alignment horizontal="left"/>
    </xf>
    <xf numFmtId="0" fontId="0" fillId="8" borderId="0" xfId="0" applyFill="1" applyAlignment="1">
      <alignment vertical="center"/>
    </xf>
    <xf numFmtId="0" fontId="23" fillId="0" borderId="0" xfId="0" applyFont="1" applyAlignment="1">
      <alignment horizontal="right" vertical="center"/>
    </xf>
    <xf numFmtId="0" fontId="32" fillId="0" borderId="0" xfId="0" applyFont="1" applyAlignment="1">
      <alignment horizontal="left" vertical="center"/>
    </xf>
    <xf numFmtId="0" fontId="14" fillId="0" borderId="0" xfId="0" applyFont="1" applyFill="1" applyBorder="1"/>
    <xf numFmtId="0" fontId="42" fillId="0" borderId="0" xfId="3" applyAlignment="1" applyProtection="1">
      <alignment horizontal="left" vertical="center"/>
    </xf>
    <xf numFmtId="0" fontId="23" fillId="0" borderId="0" xfId="0" applyFont="1"/>
    <xf numFmtId="0" fontId="23" fillId="0" borderId="0" xfId="0" applyFont="1" applyAlignment="1">
      <alignment vertical="center"/>
    </xf>
    <xf numFmtId="0" fontId="0" fillId="0" borderId="12" xfId="0" applyBorder="1"/>
    <xf numFmtId="0" fontId="0" fillId="0" borderId="13" xfId="0" applyBorder="1"/>
    <xf numFmtId="0" fontId="23" fillId="0" borderId="12" xfId="0" applyFont="1" applyBorder="1" applyAlignment="1">
      <alignment horizontal="right" vertical="center"/>
    </xf>
    <xf numFmtId="0" fontId="44" fillId="6" borderId="0" xfId="0" applyFont="1" applyFill="1"/>
    <xf numFmtId="0" fontId="28" fillId="6" borderId="0" xfId="0" applyFont="1" applyFill="1" applyBorder="1" applyAlignment="1"/>
    <xf numFmtId="0" fontId="36" fillId="7" borderId="11" xfId="0" applyFont="1" applyFill="1" applyBorder="1" applyAlignment="1">
      <alignment horizontal="center" vertical="top" wrapText="1"/>
    </xf>
    <xf numFmtId="0" fontId="36" fillId="7" borderId="14" xfId="0" applyFont="1" applyFill="1" applyBorder="1" applyAlignment="1">
      <alignment horizontal="center" vertical="top" wrapText="1"/>
    </xf>
    <xf numFmtId="166" fontId="13" fillId="0" borderId="0" xfId="2" applyNumberFormat="1" applyFont="1"/>
    <xf numFmtId="0" fontId="12" fillId="10" borderId="0" xfId="0" applyFont="1" applyFill="1"/>
    <xf numFmtId="0" fontId="12" fillId="10" borderId="0" xfId="0" applyFont="1" applyFill="1" applyAlignment="1">
      <alignment horizontal="center" vertical="center"/>
    </xf>
    <xf numFmtId="0" fontId="13" fillId="11" borderId="0" xfId="0" applyFont="1" applyFill="1" applyAlignment="1">
      <alignment horizontal="center" vertical="center"/>
    </xf>
    <xf numFmtId="0" fontId="13" fillId="11" borderId="9" xfId="0" applyFont="1" applyFill="1" applyBorder="1" applyAlignment="1">
      <alignment horizontal="center" vertical="center"/>
    </xf>
    <xf numFmtId="164" fontId="13" fillId="11" borderId="0" xfId="1" applyNumberFormat="1" applyFont="1" applyFill="1" applyAlignment="1">
      <alignment horizontal="center" vertical="center"/>
    </xf>
    <xf numFmtId="0" fontId="13" fillId="12" borderId="0" xfId="0" applyFont="1" applyFill="1" applyAlignment="1">
      <alignment horizontal="center" vertical="center"/>
    </xf>
    <xf numFmtId="0" fontId="13" fillId="12" borderId="9" xfId="0" applyFont="1" applyFill="1" applyBorder="1" applyAlignment="1">
      <alignment horizontal="center" vertical="center"/>
    </xf>
    <xf numFmtId="164" fontId="13" fillId="12" borderId="0" xfId="1" applyNumberFormat="1" applyFont="1" applyFill="1" applyAlignment="1">
      <alignment horizontal="center" vertical="center"/>
    </xf>
    <xf numFmtId="9" fontId="13" fillId="12" borderId="0" xfId="2" applyFont="1" applyFill="1" applyAlignment="1">
      <alignment horizontal="center" vertical="center"/>
    </xf>
    <xf numFmtId="9" fontId="13" fillId="11" borderId="0" xfId="2" applyFont="1" applyFill="1" applyAlignment="1">
      <alignment horizontal="center" vertical="center"/>
    </xf>
    <xf numFmtId="0" fontId="12" fillId="10" borderId="0" xfId="0" applyFont="1" applyFill="1" applyAlignment="1">
      <alignment horizontal="center" vertical="center" wrapText="1"/>
    </xf>
    <xf numFmtId="43" fontId="15" fillId="0" borderId="0" xfId="1" applyFont="1" applyAlignment="1">
      <alignment horizontal="center"/>
    </xf>
    <xf numFmtId="0" fontId="13" fillId="10" borderId="0" xfId="0" applyFont="1" applyFill="1" applyAlignment="1">
      <alignment horizontal="center" vertical="center"/>
    </xf>
    <xf numFmtId="0" fontId="16" fillId="10" borderId="0" xfId="0" applyFont="1" applyFill="1" applyAlignment="1">
      <alignment horizontal="center" vertical="center"/>
    </xf>
    <xf numFmtId="0" fontId="16" fillId="10" borderId="9"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0" xfId="0" applyFont="1" applyFill="1" applyBorder="1" applyAlignment="1">
      <alignment horizontal="center" vertical="center"/>
    </xf>
    <xf numFmtId="9" fontId="46" fillId="5" borderId="0" xfId="0" applyNumberFormat="1" applyFont="1" applyFill="1"/>
    <xf numFmtId="9" fontId="0" fillId="0" borderId="0" xfId="2" applyNumberFormat="1" applyFont="1"/>
    <xf numFmtId="0" fontId="13" fillId="10" borderId="0" xfId="0" applyFont="1" applyFill="1"/>
    <xf numFmtId="0" fontId="15" fillId="0" borderId="20" xfId="0" applyFont="1" applyBorder="1" applyAlignment="1">
      <alignment horizontal="center" vertical="center"/>
    </xf>
    <xf numFmtId="0" fontId="13" fillId="10" borderId="1"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3" fillId="13" borderId="4" xfId="0" applyFont="1" applyFill="1" applyBorder="1" applyAlignment="1">
      <alignment horizontal="center" vertical="center"/>
    </xf>
    <xf numFmtId="0" fontId="13" fillId="13" borderId="0" xfId="0" applyFont="1" applyFill="1" applyBorder="1" applyAlignment="1">
      <alignment horizontal="center" vertical="center"/>
    </xf>
    <xf numFmtId="0" fontId="13" fillId="13" borderId="0" xfId="0" applyFont="1" applyFill="1" applyBorder="1" applyAlignment="1">
      <alignment horizontal="left" vertical="center"/>
    </xf>
    <xf numFmtId="0" fontId="13" fillId="13" borderId="5" xfId="0" applyFont="1" applyFill="1" applyBorder="1" applyAlignment="1">
      <alignment horizontal="left" vertical="center"/>
    </xf>
    <xf numFmtId="0" fontId="13" fillId="13" borderId="6"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7" xfId="0" applyFont="1" applyFill="1" applyBorder="1" applyAlignment="1">
      <alignment horizontal="left" vertical="center"/>
    </xf>
    <xf numFmtId="0" fontId="13" fillId="13" borderId="8" xfId="0" applyFont="1" applyFill="1" applyBorder="1" applyAlignment="1">
      <alignment horizontal="left" vertical="center"/>
    </xf>
    <xf numFmtId="0" fontId="16" fillId="10" borderId="1" xfId="0" applyFont="1" applyFill="1" applyBorder="1" applyAlignment="1">
      <alignment horizontal="center" vertic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43" fontId="13" fillId="0" borderId="0" xfId="1" applyFont="1" applyFill="1" applyAlignment="1">
      <alignment horizontal="center" vertical="center"/>
    </xf>
    <xf numFmtId="43" fontId="13" fillId="0" borderId="0" xfId="0" applyNumberFormat="1" applyFont="1"/>
    <xf numFmtId="0" fontId="15" fillId="14" borderId="0" xfId="0" applyFont="1" applyFill="1"/>
    <xf numFmtId="0" fontId="13" fillId="0" borderId="0" xfId="0" quotePrefix="1" applyFont="1"/>
    <xf numFmtId="9" fontId="13" fillId="0" borderId="0" xfId="2" applyNumberFormat="1" applyFont="1" applyAlignment="1">
      <alignment horizontal="center" vertical="center"/>
    </xf>
    <xf numFmtId="167" fontId="0" fillId="0" borderId="0" xfId="0" applyNumberFormat="1"/>
    <xf numFmtId="0" fontId="32" fillId="8" borderId="0" xfId="0" applyFont="1" applyFill="1" applyBorder="1" applyAlignment="1">
      <alignment vertical="top"/>
    </xf>
    <xf numFmtId="10" fontId="32" fillId="8" borderId="0" xfId="2" applyNumberFormat="1" applyFont="1" applyFill="1" applyBorder="1" applyAlignment="1">
      <alignment vertical="top"/>
    </xf>
    <xf numFmtId="10" fontId="0" fillId="0" borderId="0" xfId="2" applyNumberFormat="1" applyFont="1"/>
    <xf numFmtId="0" fontId="48" fillId="10" borderId="19" xfId="0" applyFont="1" applyFill="1" applyBorder="1" applyAlignment="1">
      <alignment horizontal="center" vertical="top" wrapText="1"/>
    </xf>
    <xf numFmtId="0" fontId="49" fillId="10" borderId="25" xfId="0" applyFont="1" applyFill="1" applyBorder="1" applyAlignment="1">
      <alignment horizontal="center" vertical="top" wrapText="1"/>
    </xf>
    <xf numFmtId="0" fontId="50" fillId="17" borderId="24" xfId="0" applyFont="1" applyFill="1" applyBorder="1" applyAlignment="1">
      <alignment horizontal="left" vertical="top" wrapText="1"/>
    </xf>
    <xf numFmtId="10" fontId="50" fillId="0" borderId="19" xfId="2" applyNumberFormat="1" applyFont="1" applyBorder="1" applyAlignment="1">
      <alignment vertical="center" wrapText="1"/>
    </xf>
    <xf numFmtId="0" fontId="50" fillId="18" borderId="19" xfId="0" applyFont="1" applyFill="1" applyBorder="1" applyAlignment="1">
      <alignment horizontal="left" vertical="top" wrapText="1"/>
    </xf>
    <xf numFmtId="10" fontId="49" fillId="10" borderId="25" xfId="0" applyNumberFormat="1" applyFont="1" applyFill="1" applyBorder="1" applyAlignment="1">
      <alignment vertical="top" wrapText="1"/>
    </xf>
    <xf numFmtId="0" fontId="51" fillId="0" borderId="0" xfId="0" applyFont="1"/>
    <xf numFmtId="0" fontId="49" fillId="10" borderId="26" xfId="0" applyFont="1" applyFill="1" applyBorder="1" applyAlignment="1">
      <alignment vertical="top" wrapText="1"/>
    </xf>
    <xf numFmtId="10" fontId="49" fillId="10" borderId="27" xfId="0" applyNumberFormat="1" applyFont="1" applyFill="1" applyBorder="1" applyAlignment="1">
      <alignment vertical="center" wrapText="1"/>
    </xf>
    <xf numFmtId="0" fontId="49" fillId="10" borderId="27" xfId="0" applyFont="1" applyFill="1" applyBorder="1" applyAlignment="1">
      <alignment vertical="center" wrapText="1"/>
    </xf>
    <xf numFmtId="10" fontId="52" fillId="0" borderId="19" xfId="2" applyNumberFormat="1" applyFont="1" applyBorder="1" applyAlignment="1">
      <alignment vertical="center" wrapText="1"/>
    </xf>
    <xf numFmtId="9" fontId="13" fillId="0" borderId="0" xfId="0" applyNumberFormat="1" applyFont="1"/>
    <xf numFmtId="9" fontId="13" fillId="12" borderId="0" xfId="2" applyNumberFormat="1" applyFont="1" applyFill="1" applyAlignment="1">
      <alignment horizontal="center" vertical="center"/>
    </xf>
    <xf numFmtId="9" fontId="13" fillId="11" borderId="0" xfId="2" applyNumberFormat="1" applyFont="1" applyFill="1" applyAlignment="1">
      <alignment horizontal="center" vertical="center"/>
    </xf>
    <xf numFmtId="164" fontId="13" fillId="12" borderId="0" xfId="0" applyNumberFormat="1" applyFont="1" applyFill="1" applyAlignment="1">
      <alignment horizontal="center" vertical="center"/>
    </xf>
    <xf numFmtId="0" fontId="53" fillId="0" borderId="0" xfId="0" applyFont="1"/>
    <xf numFmtId="0" fontId="0" fillId="0" borderId="20" xfId="0" applyBorder="1"/>
    <xf numFmtId="0" fontId="53" fillId="0" borderId="20" xfId="0" applyFont="1" applyBorder="1"/>
    <xf numFmtId="0" fontId="15" fillId="0" borderId="28" xfId="0" applyFont="1" applyBorder="1" applyAlignment="1">
      <alignment horizontal="center" vertical="center"/>
    </xf>
    <xf numFmtId="9" fontId="15" fillId="15" borderId="20" xfId="2" applyFont="1" applyFill="1" applyBorder="1" applyAlignment="1">
      <alignment horizontal="center" vertical="center"/>
    </xf>
    <xf numFmtId="9" fontId="15" fillId="0" borderId="20" xfId="2" applyFont="1" applyBorder="1" applyAlignment="1">
      <alignment horizontal="center" vertical="center"/>
    </xf>
    <xf numFmtId="0" fontId="54" fillId="0" borderId="20" xfId="0" applyFont="1" applyBorder="1" applyAlignment="1">
      <alignment horizontal="center" vertical="center" wrapText="1"/>
    </xf>
    <xf numFmtId="43" fontId="13" fillId="0" borderId="0" xfId="2" applyNumberFormat="1" applyFont="1" applyAlignment="1">
      <alignment horizontal="center" vertical="center"/>
    </xf>
    <xf numFmtId="0" fontId="12" fillId="0" borderId="0" xfId="0" applyFont="1" applyFill="1" applyAlignment="1">
      <alignment horizontal="center" vertical="center" wrapText="1"/>
    </xf>
    <xf numFmtId="10" fontId="15" fillId="3" borderId="18" xfId="2" applyNumberFormat="1" applyFont="1" applyFill="1" applyBorder="1"/>
    <xf numFmtId="164" fontId="13" fillId="11" borderId="0" xfId="0" applyNumberFormat="1" applyFont="1" applyFill="1" applyAlignment="1">
      <alignment horizontal="center" vertical="center"/>
    </xf>
    <xf numFmtId="168" fontId="13" fillId="0" borderId="0" xfId="1" applyNumberFormat="1" applyFont="1" applyAlignment="1">
      <alignment horizontal="center" vertical="center"/>
    </xf>
    <xf numFmtId="166" fontId="13" fillId="14" borderId="0" xfId="2" applyNumberFormat="1" applyFont="1" applyFill="1"/>
    <xf numFmtId="166" fontId="13" fillId="14" borderId="0" xfId="2" applyNumberFormat="1" applyFont="1" applyFill="1" applyBorder="1"/>
    <xf numFmtId="166" fontId="13" fillId="14" borderId="5" xfId="2" applyNumberFormat="1" applyFont="1" applyFill="1" applyBorder="1"/>
    <xf numFmtId="166" fontId="15" fillId="14" borderId="0" xfId="2" applyNumberFormat="1" applyFont="1" applyFill="1"/>
    <xf numFmtId="2" fontId="13" fillId="13" borderId="0" xfId="0" applyNumberFormat="1" applyFont="1" applyFill="1" applyBorder="1"/>
    <xf numFmtId="165" fontId="13" fillId="13" borderId="0" xfId="0" applyNumberFormat="1" applyFont="1" applyFill="1" applyBorder="1"/>
    <xf numFmtId="0" fontId="13" fillId="13" borderId="0" xfId="0" applyFont="1" applyFill="1" applyBorder="1"/>
    <xf numFmtId="0" fontId="13" fillId="0" borderId="0" xfId="0" applyFont="1" applyBorder="1"/>
    <xf numFmtId="166" fontId="15" fillId="14" borderId="16" xfId="2" applyNumberFormat="1" applyFont="1" applyFill="1" applyBorder="1"/>
    <xf numFmtId="166" fontId="15" fillId="14" borderId="17" xfId="2" applyNumberFormat="1" applyFont="1" applyFill="1" applyBorder="1"/>
    <xf numFmtId="0" fontId="13" fillId="0" borderId="0" xfId="0" applyFont="1" applyFill="1"/>
    <xf numFmtId="0" fontId="13" fillId="0" borderId="1" xfId="0" applyFont="1" applyBorder="1"/>
    <xf numFmtId="0" fontId="13" fillId="0" borderId="2" xfId="0" applyFont="1" applyBorder="1"/>
    <xf numFmtId="0" fontId="13" fillId="0" borderId="3" xfId="0" applyFont="1" applyBorder="1"/>
    <xf numFmtId="0" fontId="12" fillId="10" borderId="0"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3" fillId="0" borderId="4" xfId="0" applyFont="1" applyBorder="1" applyAlignment="1">
      <alignment horizontal="center"/>
    </xf>
    <xf numFmtId="0" fontId="13" fillId="0" borderId="0" xfId="0" applyFont="1" applyBorder="1" applyAlignment="1">
      <alignment horizontal="center"/>
    </xf>
    <xf numFmtId="2" fontId="13" fillId="0" borderId="0" xfId="0" applyNumberFormat="1" applyFont="1" applyBorder="1" applyAlignment="1">
      <alignment horizontal="center"/>
    </xf>
    <xf numFmtId="43" fontId="13" fillId="0" borderId="0" xfId="1" applyFont="1" applyBorder="1" applyAlignment="1">
      <alignment horizontal="center"/>
    </xf>
    <xf numFmtId="2" fontId="13" fillId="0" borderId="5" xfId="0" applyNumberFormat="1" applyFont="1" applyBorder="1" applyAlignment="1">
      <alignment horizontal="center"/>
    </xf>
    <xf numFmtId="43" fontId="13" fillId="0" borderId="0" xfId="0" applyNumberFormat="1" applyFont="1" applyBorder="1"/>
    <xf numFmtId="0" fontId="14" fillId="0" borderId="1" xfId="0" applyFont="1" applyBorder="1"/>
    <xf numFmtId="0" fontId="14" fillId="0" borderId="3" xfId="0" applyFont="1" applyBorder="1"/>
    <xf numFmtId="0" fontId="14" fillId="0" borderId="4" xfId="0" applyFont="1" applyBorder="1"/>
    <xf numFmtId="0" fontId="14" fillId="0" borderId="5" xfId="0" applyFont="1" applyBorder="1"/>
    <xf numFmtId="0" fontId="12" fillId="10" borderId="4" xfId="0" applyFont="1" applyFill="1" applyBorder="1" applyAlignment="1">
      <alignment horizontal="center" vertical="center" wrapText="1"/>
    </xf>
    <xf numFmtId="43" fontId="13" fillId="0" borderId="4" xfId="1" applyFont="1" applyBorder="1" applyAlignment="1">
      <alignment horizontal="center"/>
    </xf>
    <xf numFmtId="0" fontId="0" fillId="0" borderId="5" xfId="0" applyBorder="1"/>
    <xf numFmtId="43" fontId="15" fillId="0" borderId="4" xfId="1" applyFont="1" applyBorder="1" applyAlignment="1">
      <alignment horizontal="center"/>
    </xf>
    <xf numFmtId="0" fontId="0" fillId="0" borderId="6" xfId="0" applyBorder="1"/>
    <xf numFmtId="166" fontId="15" fillId="14" borderId="8" xfId="2" applyNumberFormat="1" applyFont="1" applyFill="1" applyBorder="1"/>
    <xf numFmtId="0" fontId="13" fillId="0" borderId="7" xfId="0" applyFont="1" applyBorder="1"/>
    <xf numFmtId="0" fontId="13" fillId="0" borderId="8" xfId="0" applyFont="1" applyBorder="1"/>
    <xf numFmtId="9" fontId="13" fillId="14" borderId="0" xfId="2" applyFont="1" applyFill="1" applyBorder="1" applyAlignment="1">
      <alignment horizontal="center"/>
    </xf>
    <xf numFmtId="9" fontId="13" fillId="0" borderId="0" xfId="0" applyNumberFormat="1" applyFont="1" applyBorder="1"/>
    <xf numFmtId="0" fontId="13" fillId="0" borderId="29" xfId="0" applyFont="1" applyBorder="1"/>
    <xf numFmtId="166" fontId="15" fillId="14" borderId="30" xfId="0" applyNumberFormat="1" applyFont="1" applyFill="1" applyBorder="1"/>
    <xf numFmtId="166" fontId="15" fillId="14" borderId="31" xfId="0" applyNumberFormat="1" applyFont="1" applyFill="1" applyBorder="1"/>
    <xf numFmtId="0" fontId="15" fillId="19" borderId="0" xfId="0" applyFont="1" applyFill="1"/>
    <xf numFmtId="10" fontId="15" fillId="19" borderId="0" xfId="0" applyNumberFormat="1" applyFont="1" applyFill="1"/>
    <xf numFmtId="0" fontId="15" fillId="0" borderId="0" xfId="0" applyFont="1"/>
    <xf numFmtId="0" fontId="63" fillId="13" borderId="0" xfId="0" applyFont="1" applyFill="1"/>
    <xf numFmtId="0" fontId="64" fillId="13" borderId="0" xfId="0" applyFont="1" applyFill="1" applyAlignment="1"/>
    <xf numFmtId="0" fontId="13" fillId="0" borderId="43" xfId="0" applyFont="1" applyBorder="1" applyAlignment="1">
      <alignment horizontal="center"/>
    </xf>
    <xf numFmtId="0" fontId="13" fillId="0" borderId="44" xfId="0" applyFont="1" applyBorder="1" applyAlignment="1">
      <alignment horizontal="center"/>
    </xf>
    <xf numFmtId="2" fontId="13" fillId="0" borderId="46" xfId="0" applyNumberFormat="1" applyFont="1" applyBorder="1" applyAlignment="1">
      <alignment horizontal="center"/>
    </xf>
    <xf numFmtId="10" fontId="15" fillId="3" borderId="0" xfId="0" applyNumberFormat="1" applyFont="1" applyFill="1"/>
    <xf numFmtId="10" fontId="15" fillId="14" borderId="20" xfId="2" applyNumberFormat="1" applyFont="1" applyFill="1" applyBorder="1"/>
    <xf numFmtId="0" fontId="65" fillId="13" borderId="0" xfId="0" applyFont="1" applyFill="1" applyAlignment="1">
      <alignment horizontal="center"/>
    </xf>
    <xf numFmtId="15" fontId="13" fillId="0" borderId="0" xfId="0" applyNumberFormat="1" applyFont="1"/>
    <xf numFmtId="0" fontId="80" fillId="14" borderId="1" xfId="55" applyFont="1" applyFill="1" applyBorder="1"/>
    <xf numFmtId="0" fontId="81" fillId="14" borderId="2" xfId="8" applyFont="1" applyFill="1" applyBorder="1"/>
    <xf numFmtId="0" fontId="81" fillId="14" borderId="3" xfId="8" applyFont="1" applyFill="1" applyBorder="1"/>
    <xf numFmtId="0" fontId="81" fillId="0" borderId="0" xfId="8" applyFont="1"/>
    <xf numFmtId="0" fontId="63" fillId="14" borderId="4" xfId="8" applyFont="1" applyFill="1" applyBorder="1"/>
    <xf numFmtId="0" fontId="63" fillId="14" borderId="0" xfId="8" applyFont="1" applyFill="1" applyBorder="1"/>
    <xf numFmtId="0" fontId="81" fillId="14" borderId="0" xfId="8" applyFont="1" applyFill="1" applyBorder="1"/>
    <xf numFmtId="0" fontId="81" fillId="14" borderId="5" xfId="8" applyFont="1" applyFill="1" applyBorder="1"/>
    <xf numFmtId="0" fontId="63" fillId="51" borderId="4" xfId="8" applyFont="1" applyFill="1" applyBorder="1"/>
    <xf numFmtId="0" fontId="63" fillId="51" borderId="0" xfId="8" applyFont="1" applyFill="1" applyBorder="1"/>
    <xf numFmtId="0" fontId="82" fillId="51" borderId="0" xfId="8" applyFont="1" applyFill="1" applyBorder="1"/>
    <xf numFmtId="0" fontId="82" fillId="51" borderId="5" xfId="8" applyFont="1" applyFill="1" applyBorder="1"/>
    <xf numFmtId="0" fontId="63" fillId="52" borderId="4" xfId="8" applyFont="1" applyFill="1" applyBorder="1"/>
    <xf numFmtId="0" fontId="63" fillId="52" borderId="0" xfId="8" applyFont="1" applyFill="1" applyBorder="1"/>
    <xf numFmtId="0" fontId="82" fillId="52" borderId="0" xfId="8" applyFont="1" applyFill="1" applyBorder="1"/>
    <xf numFmtId="0" fontId="82" fillId="52" borderId="5" xfId="8" applyFont="1" applyFill="1" applyBorder="1"/>
    <xf numFmtId="0" fontId="64" fillId="53" borderId="4" xfId="8" applyFont="1" applyFill="1" applyBorder="1"/>
    <xf numFmtId="0" fontId="63" fillId="53" borderId="0" xfId="8" applyFont="1" applyFill="1" applyBorder="1"/>
    <xf numFmtId="0" fontId="81" fillId="53" borderId="0" xfId="8" applyFont="1" applyFill="1" applyBorder="1"/>
    <xf numFmtId="0" fontId="81" fillId="53" borderId="5" xfId="8" applyFont="1" applyFill="1" applyBorder="1"/>
    <xf numFmtId="0" fontId="63" fillId="53" borderId="4" xfId="8" applyFont="1" applyFill="1" applyBorder="1"/>
    <xf numFmtId="0" fontId="64" fillId="54" borderId="4" xfId="8" applyFont="1" applyFill="1" applyBorder="1"/>
    <xf numFmtId="0" fontId="63" fillId="54" borderId="0" xfId="8" applyFont="1" applyFill="1" applyBorder="1"/>
    <xf numFmtId="0" fontId="63" fillId="54" borderId="5" xfId="8" applyFont="1" applyFill="1" applyBorder="1"/>
    <xf numFmtId="0" fontId="64" fillId="55" borderId="4" xfId="8" applyFont="1" applyFill="1" applyBorder="1"/>
    <xf numFmtId="0" fontId="63" fillId="55" borderId="0" xfId="8" applyFont="1" applyFill="1" applyBorder="1"/>
    <xf numFmtId="0" fontId="81" fillId="55" borderId="0" xfId="8" applyFont="1" applyFill="1" applyBorder="1"/>
    <xf numFmtId="0" fontId="81" fillId="55" borderId="5" xfId="8" applyFont="1" applyFill="1" applyBorder="1"/>
    <xf numFmtId="0" fontId="64" fillId="56" borderId="4" xfId="8" applyFont="1" applyFill="1" applyBorder="1"/>
    <xf numFmtId="0" fontId="63" fillId="56" borderId="0" xfId="8" applyFont="1" applyFill="1" applyBorder="1"/>
    <xf numFmtId="0" fontId="81" fillId="56" borderId="0" xfId="8" applyFont="1" applyFill="1" applyBorder="1"/>
    <xf numFmtId="0" fontId="81" fillId="56" borderId="5" xfId="8" applyFont="1" applyFill="1" applyBorder="1"/>
    <xf numFmtId="0" fontId="63" fillId="57" borderId="6" xfId="8" applyFont="1" applyFill="1" applyBorder="1"/>
    <xf numFmtId="0" fontId="63" fillId="57" borderId="7" xfId="8" applyFont="1" applyFill="1" applyBorder="1"/>
    <xf numFmtId="0" fontId="63" fillId="57" borderId="8" xfId="8" applyFont="1" applyFill="1" applyBorder="1"/>
    <xf numFmtId="0" fontId="83" fillId="0" borderId="0" xfId="8" applyFont="1"/>
    <xf numFmtId="0" fontId="84" fillId="13" borderId="1" xfId="8" applyFont="1" applyFill="1" applyBorder="1"/>
    <xf numFmtId="0" fontId="81" fillId="13" borderId="2" xfId="8" applyFont="1" applyFill="1" applyBorder="1"/>
    <xf numFmtId="0" fontId="81" fillId="13" borderId="3" xfId="8" applyFont="1" applyFill="1" applyBorder="1"/>
    <xf numFmtId="0" fontId="81" fillId="13" borderId="4" xfId="8" applyFont="1" applyFill="1" applyBorder="1"/>
    <xf numFmtId="0" fontId="81" fillId="13" borderId="0" xfId="8" applyFont="1" applyFill="1" applyBorder="1"/>
    <xf numFmtId="0" fontId="81" fillId="13" borderId="5" xfId="8" applyFont="1" applyFill="1" applyBorder="1"/>
    <xf numFmtId="0" fontId="85" fillId="13" borderId="4" xfId="8" applyFont="1" applyFill="1" applyBorder="1"/>
    <xf numFmtId="0" fontId="85" fillId="13" borderId="6" xfId="8" applyFont="1" applyFill="1" applyBorder="1"/>
    <xf numFmtId="0" fontId="81" fillId="13" borderId="7" xfId="8" applyFont="1" applyFill="1" applyBorder="1"/>
    <xf numFmtId="0" fontId="81" fillId="13" borderId="8" xfId="8" applyFont="1" applyFill="1" applyBorder="1"/>
    <xf numFmtId="0" fontId="0" fillId="12" borderId="0" xfId="0" applyFill="1"/>
    <xf numFmtId="43" fontId="13" fillId="13" borderId="0" xfId="1" applyFont="1" applyFill="1" applyAlignment="1">
      <alignment horizontal="center" vertical="center"/>
    </xf>
    <xf numFmtId="0" fontId="0" fillId="13" borderId="0" xfId="0" applyFill="1" applyAlignment="1">
      <alignment horizontal="center" vertical="center"/>
    </xf>
    <xf numFmtId="0" fontId="0" fillId="13" borderId="0" xfId="0" applyFill="1"/>
    <xf numFmtId="0" fontId="16" fillId="51" borderId="0" xfId="0" applyFont="1" applyFill="1"/>
    <xf numFmtId="0" fontId="86" fillId="51" borderId="0" xfId="0" applyFont="1" applyFill="1"/>
    <xf numFmtId="0" fontId="13" fillId="51" borderId="0" xfId="0" applyFont="1" applyFill="1"/>
    <xf numFmtId="0" fontId="13" fillId="13" borderId="0" xfId="0" applyFont="1" applyFill="1"/>
    <xf numFmtId="0" fontId="15" fillId="13" borderId="0" xfId="0" applyFont="1" applyFill="1"/>
    <xf numFmtId="0" fontId="12" fillId="13" borderId="0" xfId="0" applyFont="1" applyFill="1" applyAlignment="1">
      <alignment horizontal="center" vertical="center"/>
    </xf>
    <xf numFmtId="43" fontId="13" fillId="13" borderId="0" xfId="0" applyNumberFormat="1" applyFont="1" applyFill="1"/>
    <xf numFmtId="0" fontId="16" fillId="52" borderId="0" xfId="0" applyFont="1" applyFill="1"/>
    <xf numFmtId="0" fontId="86" fillId="52" borderId="0" xfId="0" applyFont="1" applyFill="1"/>
    <xf numFmtId="0" fontId="13" fillId="53" borderId="0" xfId="0" applyFont="1" applyFill="1"/>
    <xf numFmtId="0" fontId="86" fillId="53" borderId="0" xfId="0" applyFont="1" applyFill="1"/>
    <xf numFmtId="10" fontId="13" fillId="13" borderId="0" xfId="2" applyNumberFormat="1" applyFont="1" applyFill="1" applyBorder="1"/>
    <xf numFmtId="10" fontId="15" fillId="3" borderId="20" xfId="2" applyNumberFormat="1" applyFont="1" applyFill="1" applyBorder="1"/>
    <xf numFmtId="0" fontId="88" fillId="54" borderId="0" xfId="0" applyFont="1" applyFill="1"/>
    <xf numFmtId="0" fontId="86" fillId="54" borderId="0" xfId="0" applyFont="1" applyFill="1"/>
    <xf numFmtId="2" fontId="13" fillId="0" borderId="0" xfId="0" applyNumberFormat="1" applyFont="1" applyFill="1"/>
    <xf numFmtId="165" fontId="13" fillId="0" borderId="0" xfId="0" applyNumberFormat="1" applyFont="1" applyFill="1"/>
    <xf numFmtId="166" fontId="13" fillId="0" borderId="0" xfId="2" applyNumberFormat="1" applyFont="1" applyFill="1" applyBorder="1"/>
    <xf numFmtId="166" fontId="15" fillId="0" borderId="20" xfId="2" applyNumberFormat="1" applyFont="1" applyFill="1" applyBorder="1"/>
    <xf numFmtId="0" fontId="13" fillId="56" borderId="0" xfId="0" applyFont="1" applyFill="1"/>
    <xf numFmtId="0" fontId="86" fillId="56" borderId="0" xfId="0" applyFont="1" applyFill="1"/>
    <xf numFmtId="0" fontId="13" fillId="55" borderId="0" xfId="0" applyFont="1" applyFill="1"/>
    <xf numFmtId="0" fontId="86" fillId="55" borderId="0" xfId="0" applyFont="1" applyFill="1"/>
    <xf numFmtId="0" fontId="88" fillId="57" borderId="0" xfId="0" applyFont="1" applyFill="1"/>
    <xf numFmtId="0" fontId="86" fillId="57" borderId="0" xfId="0" applyFont="1" applyFill="1"/>
    <xf numFmtId="2" fontId="13" fillId="0" borderId="5" xfId="0" applyNumberFormat="1" applyFont="1" applyFill="1" applyBorder="1"/>
    <xf numFmtId="166" fontId="13" fillId="0" borderId="5" xfId="2" applyNumberFormat="1" applyFont="1" applyFill="1" applyBorder="1"/>
    <xf numFmtId="166" fontId="13" fillId="0" borderId="8" xfId="2" applyNumberFormat="1" applyFont="1" applyFill="1" applyBorder="1"/>
    <xf numFmtId="166" fontId="15" fillId="0" borderId="17" xfId="2" applyNumberFormat="1" applyFont="1" applyFill="1" applyBorder="1"/>
    <xf numFmtId="0" fontId="15" fillId="19" borderId="1" xfId="0" applyFont="1" applyFill="1" applyBorder="1"/>
    <xf numFmtId="0" fontId="15" fillId="19" borderId="2" xfId="0" applyFont="1" applyFill="1" applyBorder="1"/>
    <xf numFmtId="0" fontId="15" fillId="19" borderId="3" xfId="0" applyFont="1" applyFill="1" applyBorder="1"/>
    <xf numFmtId="0" fontId="12" fillId="10" borderId="4" xfId="0" applyFont="1" applyFill="1" applyBorder="1"/>
    <xf numFmtId="0" fontId="13" fillId="0" borderId="4" xfId="0" applyFont="1" applyBorder="1" applyAlignment="1">
      <alignment horizontal="center" vertical="center"/>
    </xf>
    <xf numFmtId="0" fontId="15" fillId="0" borderId="16" xfId="0" applyFont="1" applyBorder="1"/>
    <xf numFmtId="10" fontId="13" fillId="15" borderId="47" xfId="2" applyNumberFormat="1" applyFont="1" applyFill="1" applyBorder="1" applyAlignment="1">
      <alignment horizontal="center"/>
    </xf>
    <xf numFmtId="0" fontId="13" fillId="0" borderId="5" xfId="0" applyFont="1" applyBorder="1"/>
    <xf numFmtId="43" fontId="15" fillId="0" borderId="0" xfId="0" applyNumberFormat="1" applyFont="1" applyBorder="1"/>
    <xf numFmtId="0" fontId="13" fillId="0" borderId="41" xfId="0" applyFont="1" applyBorder="1"/>
    <xf numFmtId="0" fontId="13" fillId="0" borderId="15" xfId="0" applyFont="1" applyBorder="1"/>
    <xf numFmtId="0" fontId="13" fillId="0" borderId="42" xfId="0" applyFont="1" applyBorder="1"/>
    <xf numFmtId="2" fontId="13" fillId="0" borderId="43" xfId="0" applyNumberFormat="1" applyFont="1" applyBorder="1" applyAlignment="1">
      <alignment horizontal="center"/>
    </xf>
    <xf numFmtId="43" fontId="13" fillId="0" borderId="9" xfId="1" applyFont="1" applyBorder="1" applyAlignment="1">
      <alignment horizontal="center"/>
    </xf>
    <xf numFmtId="43" fontId="15" fillId="0" borderId="43" xfId="0" applyNumberFormat="1" applyFont="1" applyBorder="1"/>
    <xf numFmtId="43" fontId="15" fillId="0" borderId="9" xfId="0" applyNumberFormat="1" applyFont="1" applyBorder="1"/>
    <xf numFmtId="43" fontId="15" fillId="0" borderId="44" xfId="0" applyNumberFormat="1" applyFont="1" applyBorder="1"/>
    <xf numFmtId="43" fontId="15" fillId="0" borderId="12" xfId="0" applyNumberFormat="1" applyFont="1" applyBorder="1"/>
    <xf numFmtId="43" fontId="15" fillId="0" borderId="13" xfId="0" applyNumberFormat="1" applyFont="1" applyBorder="1"/>
    <xf numFmtId="0" fontId="13" fillId="0" borderId="45" xfId="0" applyFont="1" applyBorder="1"/>
    <xf numFmtId="0" fontId="13" fillId="0" borderId="46" xfId="0" applyFont="1" applyBorder="1"/>
    <xf numFmtId="0" fontId="13" fillId="0" borderId="47" xfId="0" applyFont="1" applyBorder="1"/>
    <xf numFmtId="43" fontId="13" fillId="0" borderId="15" xfId="0" applyNumberFormat="1" applyFont="1" applyBorder="1"/>
    <xf numFmtId="43" fontId="13" fillId="0" borderId="42" xfId="0" applyNumberFormat="1" applyFont="1" applyBorder="1"/>
    <xf numFmtId="43" fontId="13" fillId="0" borderId="9" xfId="0" applyNumberFormat="1" applyFont="1" applyBorder="1"/>
    <xf numFmtId="43" fontId="13" fillId="0" borderId="12" xfId="0" applyNumberFormat="1" applyFont="1" applyBorder="1"/>
    <xf numFmtId="43" fontId="13" fillId="0" borderId="13" xfId="0" applyNumberFormat="1" applyFont="1" applyBorder="1"/>
    <xf numFmtId="0" fontId="12" fillId="10" borderId="49"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12" fillId="10" borderId="41"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42" xfId="0" applyFont="1" applyFill="1" applyBorder="1" applyAlignment="1">
      <alignment horizontal="center" vertical="center" wrapText="1"/>
    </xf>
    <xf numFmtId="43" fontId="13" fillId="0" borderId="43" xfId="1" applyFont="1" applyBorder="1" applyAlignment="1">
      <alignment horizontal="center"/>
    </xf>
    <xf numFmtId="43" fontId="15" fillId="0" borderId="0" xfId="1" applyFont="1" applyBorder="1" applyAlignment="1">
      <alignment horizontal="center"/>
    </xf>
    <xf numFmtId="43" fontId="13" fillId="0" borderId="44" xfId="1" applyFont="1" applyBorder="1" applyAlignment="1">
      <alignment horizontal="center"/>
    </xf>
    <xf numFmtId="43" fontId="13" fillId="0" borderId="12" xfId="1" applyFont="1" applyBorder="1" applyAlignment="1">
      <alignment horizontal="center"/>
    </xf>
    <xf numFmtId="43" fontId="13" fillId="0" borderId="13" xfId="1" applyFont="1" applyBorder="1" applyAlignment="1">
      <alignment horizontal="center"/>
    </xf>
    <xf numFmtId="0" fontId="13" fillId="0" borderId="49" xfId="0" applyFont="1" applyBorder="1"/>
    <xf numFmtId="0" fontId="13" fillId="0" borderId="20" xfId="0" applyFont="1" applyBorder="1"/>
    <xf numFmtId="0" fontId="13" fillId="0" borderId="28" xfId="0" applyFont="1" applyBorder="1"/>
    <xf numFmtId="0" fontId="13" fillId="0" borderId="41" xfId="1" applyNumberFormat="1" applyFont="1" applyBorder="1"/>
    <xf numFmtId="2" fontId="13" fillId="0" borderId="15" xfId="0" applyNumberFormat="1" applyFont="1" applyBorder="1" applyAlignment="1">
      <alignment horizontal="center"/>
    </xf>
    <xf numFmtId="2" fontId="13" fillId="0" borderId="42" xfId="0" applyNumberFormat="1" applyFont="1" applyBorder="1" applyAlignment="1">
      <alignment horizontal="center"/>
    </xf>
    <xf numFmtId="0" fontId="13" fillId="0" borderId="43" xfId="1" applyNumberFormat="1" applyFont="1" applyBorder="1"/>
    <xf numFmtId="2" fontId="13" fillId="0" borderId="9" xfId="0" applyNumberFormat="1" applyFont="1" applyBorder="1" applyAlignment="1">
      <alignment horizontal="center"/>
    </xf>
    <xf numFmtId="0" fontId="13" fillId="0" borderId="44" xfId="1" applyNumberFormat="1" applyFont="1" applyBorder="1"/>
    <xf numFmtId="2" fontId="13" fillId="0" borderId="12" xfId="0" applyNumberFormat="1" applyFont="1" applyBorder="1" applyAlignment="1">
      <alignment horizontal="center"/>
    </xf>
    <xf numFmtId="2" fontId="13" fillId="0" borderId="13" xfId="0" applyNumberFormat="1" applyFont="1" applyBorder="1" applyAlignment="1">
      <alignment horizontal="center"/>
    </xf>
    <xf numFmtId="9" fontId="60" fillId="5" borderId="19" xfId="0" applyNumberFormat="1" applyFont="1" applyFill="1" applyBorder="1"/>
    <xf numFmtId="9" fontId="13" fillId="0" borderId="19" xfId="0" applyNumberFormat="1" applyFont="1" applyFill="1" applyBorder="1"/>
    <xf numFmtId="0" fontId="12" fillId="10" borderId="41" xfId="0" applyFont="1" applyFill="1" applyBorder="1" applyAlignment="1">
      <alignment horizontal="center" vertical="center"/>
    </xf>
    <xf numFmtId="166" fontId="13" fillId="14" borderId="9" xfId="2" applyNumberFormat="1" applyFont="1" applyFill="1" applyBorder="1"/>
    <xf numFmtId="166" fontId="15" fillId="14" borderId="20" xfId="0" applyNumberFormat="1" applyFont="1" applyFill="1" applyBorder="1"/>
    <xf numFmtId="166" fontId="15" fillId="14" borderId="28" xfId="0" applyNumberFormat="1" applyFont="1" applyFill="1" applyBorder="1"/>
    <xf numFmtId="0" fontId="12" fillId="12" borderId="15" xfId="0" applyFont="1" applyFill="1" applyBorder="1" applyAlignment="1">
      <alignment horizontal="center" vertical="center" wrapText="1"/>
    </xf>
    <xf numFmtId="9" fontId="46" fillId="5" borderId="19" xfId="0" applyNumberFormat="1" applyFont="1" applyFill="1" applyBorder="1"/>
    <xf numFmtId="9" fontId="14" fillId="0" borderId="19" xfId="0" applyNumberFormat="1" applyFont="1" applyFill="1" applyBorder="1"/>
    <xf numFmtId="43" fontId="15" fillId="0" borderId="43" xfId="1" applyFont="1" applyBorder="1" applyAlignment="1">
      <alignment horizontal="center"/>
    </xf>
    <xf numFmtId="0" fontId="0" fillId="0" borderId="44" xfId="0" applyBorder="1"/>
    <xf numFmtId="167" fontId="0" fillId="0" borderId="12" xfId="0" applyNumberFormat="1" applyBorder="1"/>
    <xf numFmtId="0" fontId="13" fillId="0" borderId="0" xfId="0" applyFont="1" applyAlignment="1">
      <alignment horizontal="right"/>
    </xf>
    <xf numFmtId="0" fontId="14" fillId="0" borderId="0" xfId="0" applyFont="1" applyAlignment="1">
      <alignment horizontal="right"/>
    </xf>
    <xf numFmtId="0" fontId="93" fillId="0" borderId="50" xfId="57" applyFont="1" applyFill="1" applyBorder="1" applyAlignment="1">
      <alignment horizontal="center" wrapText="1"/>
    </xf>
    <xf numFmtId="0" fontId="93" fillId="0" borderId="0" xfId="57" applyFont="1" applyFill="1" applyAlignment="1">
      <alignment horizontal="left"/>
    </xf>
    <xf numFmtId="0" fontId="0" fillId="0" borderId="0" xfId="0" applyFill="1" applyAlignment="1"/>
    <xf numFmtId="0" fontId="11" fillId="0" borderId="0" xfId="4" applyFill="1" applyAlignment="1"/>
    <xf numFmtId="0" fontId="14" fillId="0" borderId="0" xfId="8" applyFill="1" applyAlignment="1"/>
    <xf numFmtId="0" fontId="42" fillId="0" borderId="0" xfId="3" applyFill="1" applyAlignment="1" applyProtection="1"/>
    <xf numFmtId="0" fontId="42" fillId="0" borderId="0" xfId="3" applyFill="1" applyAlignment="1" applyProtection="1">
      <alignment horizontal="left"/>
    </xf>
    <xf numFmtId="0" fontId="11" fillId="0" borderId="0" xfId="4" applyFill="1" applyAlignment="1">
      <alignment horizontal="left"/>
    </xf>
    <xf numFmtId="0" fontId="36" fillId="0" borderId="10" xfId="0" applyFont="1" applyFill="1" applyBorder="1" applyAlignment="1">
      <alignment horizontal="center" wrapText="1"/>
    </xf>
    <xf numFmtId="43" fontId="11" fillId="0" borderId="0" xfId="5" applyFont="1" applyFill="1" applyAlignment="1"/>
    <xf numFmtId="0" fontId="90" fillId="0" borderId="0" xfId="57" applyFill="1" applyAlignment="1"/>
    <xf numFmtId="0" fontId="92" fillId="0" borderId="0" xfId="57" applyFont="1" applyFill="1" applyAlignment="1"/>
    <xf numFmtId="170" fontId="93" fillId="0" borderId="0" xfId="57" applyNumberFormat="1" applyFont="1" applyFill="1" applyAlignment="1">
      <alignment horizontal="right"/>
    </xf>
    <xf numFmtId="0" fontId="94" fillId="0" borderId="0" xfId="57" applyFont="1" applyFill="1" applyAlignment="1"/>
    <xf numFmtId="166" fontId="95" fillId="0" borderId="0" xfId="6" applyNumberFormat="1" applyFont="1" applyFill="1" applyAlignment="1"/>
    <xf numFmtId="0" fontId="96" fillId="0" borderId="0" xfId="0" applyFont="1" applyFill="1" applyAlignment="1"/>
    <xf numFmtId="166" fontId="97" fillId="0" borderId="0" xfId="6" applyNumberFormat="1" applyFont="1" applyFill="1" applyAlignment="1"/>
    <xf numFmtId="0" fontId="0" fillId="0" borderId="0" xfId="0" applyFill="1" applyAlignment="1">
      <alignment horizontal="center"/>
    </xf>
    <xf numFmtId="0" fontId="97" fillId="0" borderId="0" xfId="4" applyFont="1" applyFill="1" applyAlignment="1">
      <alignment horizontal="center"/>
    </xf>
    <xf numFmtId="0" fontId="11" fillId="0" borderId="0" xfId="4" applyFill="1" applyAlignment="1">
      <alignment horizontal="center"/>
    </xf>
    <xf numFmtId="0" fontId="13" fillId="0" borderId="0" xfId="0" applyFont="1" applyBorder="1" applyAlignment="1">
      <alignment horizontal="center" vertical="center"/>
    </xf>
    <xf numFmtId="0" fontId="16" fillId="0" borderId="0" xfId="0" applyFont="1" applyFill="1"/>
    <xf numFmtId="0" fontId="15" fillId="0" borderId="0" xfId="0" applyFont="1" applyFill="1"/>
    <xf numFmtId="0" fontId="88" fillId="0" borderId="0" xfId="0" applyFont="1" applyFill="1"/>
    <xf numFmtId="0" fontId="12" fillId="0" borderId="0" xfId="0" applyFont="1" applyFill="1" applyAlignment="1">
      <alignment horizontal="center" vertical="center"/>
    </xf>
    <xf numFmtId="0" fontId="13" fillId="0" borderId="0" xfId="0" applyFont="1" applyFill="1" applyBorder="1"/>
    <xf numFmtId="0" fontId="12" fillId="0" borderId="0" xfId="0" applyFont="1" applyFill="1" applyBorder="1" applyAlignment="1">
      <alignment horizontal="center"/>
    </xf>
    <xf numFmtId="0" fontId="13" fillId="0" borderId="0" xfId="0" applyFont="1" applyFill="1" applyBorder="1" applyAlignment="1">
      <alignment horizontal="center"/>
    </xf>
    <xf numFmtId="43" fontId="0" fillId="0" borderId="0" xfId="1" applyFont="1"/>
    <xf numFmtId="2" fontId="13" fillId="0" borderId="51" xfId="0" applyNumberFormat="1" applyFont="1" applyBorder="1" applyAlignment="1">
      <alignment horizontal="center"/>
    </xf>
    <xf numFmtId="0" fontId="15" fillId="3" borderId="1" xfId="0" applyFont="1" applyFill="1" applyBorder="1"/>
    <xf numFmtId="0" fontId="15" fillId="3" borderId="2" xfId="0" applyFont="1" applyFill="1" applyBorder="1"/>
    <xf numFmtId="0" fontId="15" fillId="3" borderId="3" xfId="0" applyFont="1" applyFill="1" applyBorder="1"/>
    <xf numFmtId="10" fontId="13" fillId="15" borderId="52" xfId="2" applyNumberFormat="1" applyFont="1" applyFill="1" applyBorder="1" applyAlignment="1">
      <alignment horizontal="center"/>
    </xf>
    <xf numFmtId="166" fontId="15" fillId="15" borderId="20" xfId="2" applyNumberFormat="1" applyFont="1" applyFill="1" applyBorder="1" applyAlignment="1">
      <alignment horizontal="center" vertical="center"/>
    </xf>
    <xf numFmtId="10" fontId="13" fillId="0" borderId="0" xfId="0" applyNumberFormat="1" applyFont="1"/>
    <xf numFmtId="0" fontId="14" fillId="13" borderId="0" xfId="0" applyFont="1" applyFill="1"/>
    <xf numFmtId="0" fontId="99" fillId="0" borderId="0" xfId="0" applyFont="1" applyAlignment="1">
      <alignment horizontal="left"/>
    </xf>
    <xf numFmtId="0" fontId="0" fillId="0" borderId="0" xfId="0" applyAlignment="1"/>
    <xf numFmtId="164" fontId="100" fillId="11" borderId="0" xfId="1" applyNumberFormat="1" applyFont="1" applyFill="1" applyAlignment="1">
      <alignment horizontal="center" vertical="center"/>
    </xf>
    <xf numFmtId="164" fontId="100" fillId="12" borderId="0" xfId="1" applyNumberFormat="1" applyFont="1" applyFill="1" applyAlignment="1">
      <alignment horizontal="center" vertical="center"/>
    </xf>
    <xf numFmtId="164" fontId="100" fillId="12" borderId="0" xfId="0" applyNumberFormat="1" applyFont="1" applyFill="1" applyAlignment="1">
      <alignment horizontal="center" vertical="center"/>
    </xf>
    <xf numFmtId="164" fontId="100" fillId="58" borderId="0" xfId="1" applyNumberFormat="1" applyFont="1" applyFill="1" applyBorder="1" applyAlignment="1">
      <alignment horizontal="center" vertical="center"/>
    </xf>
    <xf numFmtId="9" fontId="101" fillId="0" borderId="0" xfId="2" applyFont="1" applyAlignment="1">
      <alignment horizontal="center" vertical="center"/>
    </xf>
    <xf numFmtId="9" fontId="101" fillId="13" borderId="0" xfId="2" applyFont="1" applyFill="1" applyAlignment="1">
      <alignment horizontal="center" vertical="center"/>
    </xf>
    <xf numFmtId="9" fontId="102" fillId="0" borderId="0" xfId="2" applyFont="1" applyAlignment="1">
      <alignment horizontal="center"/>
    </xf>
    <xf numFmtId="0" fontId="103" fillId="8" borderId="10" xfId="0" applyFont="1" applyFill="1" applyBorder="1" applyAlignment="1">
      <alignment vertical="top"/>
    </xf>
    <xf numFmtId="4" fontId="103" fillId="8" borderId="10" xfId="0" applyNumberFormat="1" applyFont="1" applyFill="1" applyBorder="1" applyAlignment="1">
      <alignment vertical="top"/>
    </xf>
    <xf numFmtId="0" fontId="103" fillId="9" borderId="10" xfId="0" applyFont="1" applyFill="1" applyBorder="1" applyAlignment="1">
      <alignment vertical="top"/>
    </xf>
    <xf numFmtId="0" fontId="103" fillId="9" borderId="0" xfId="0" applyNumberFormat="1" applyFont="1" applyFill="1" applyBorder="1" applyAlignment="1">
      <alignment vertical="top"/>
    </xf>
    <xf numFmtId="4" fontId="103" fillId="9" borderId="0" xfId="0" applyNumberFormat="1" applyFont="1" applyFill="1" applyBorder="1" applyAlignment="1">
      <alignment vertical="top"/>
    </xf>
    <xf numFmtId="0" fontId="103" fillId="8" borderId="11" xfId="0" applyFont="1" applyFill="1" applyBorder="1" applyAlignment="1">
      <alignment vertical="top"/>
    </xf>
    <xf numFmtId="0" fontId="103" fillId="8" borderId="14" xfId="0" applyFont="1" applyFill="1" applyBorder="1" applyAlignment="1">
      <alignment vertical="top"/>
    </xf>
    <xf numFmtId="170" fontId="102" fillId="0" borderId="0" xfId="57" applyNumberFormat="1" applyFont="1" applyFill="1" applyAlignment="1">
      <alignment horizontal="right"/>
    </xf>
    <xf numFmtId="0" fontId="105" fillId="0" borderId="0" xfId="57" applyFont="1" applyFill="1" applyAlignment="1"/>
    <xf numFmtId="2" fontId="103" fillId="0" borderId="10" xfId="0" applyNumberFormat="1" applyFont="1" applyFill="1" applyBorder="1" applyAlignment="1">
      <alignment horizontal="center"/>
    </xf>
    <xf numFmtId="2" fontId="103" fillId="13" borderId="10" xfId="0" applyNumberFormat="1" applyFont="1" applyFill="1" applyBorder="1" applyAlignment="1">
      <alignment horizontal="center"/>
    </xf>
    <xf numFmtId="0" fontId="81" fillId="0" borderId="0" xfId="8" applyFont="1" applyBorder="1"/>
    <xf numFmtId="0" fontId="63" fillId="57" borderId="0" xfId="8" applyFont="1" applyFill="1" applyBorder="1"/>
    <xf numFmtId="0" fontId="64" fillId="52" borderId="4" xfId="8" applyFont="1" applyFill="1" applyBorder="1"/>
    <xf numFmtId="0" fontId="64" fillId="57" borderId="4" xfId="8" applyFont="1" applyFill="1" applyBorder="1"/>
    <xf numFmtId="0" fontId="63" fillId="57" borderId="5" xfId="8" applyFont="1" applyFill="1" applyBorder="1"/>
    <xf numFmtId="0" fontId="81" fillId="13" borderId="0" xfId="8" applyFont="1" applyFill="1"/>
    <xf numFmtId="0" fontId="82" fillId="13" borderId="0" xfId="8" applyFont="1" applyFill="1" applyBorder="1"/>
    <xf numFmtId="0" fontId="63" fillId="13" borderId="0" xfId="8" applyFont="1" applyFill="1" applyBorder="1"/>
    <xf numFmtId="0" fontId="13" fillId="0" borderId="6" xfId="0" applyFont="1" applyBorder="1" applyAlignment="1">
      <alignment horizontal="center"/>
    </xf>
    <xf numFmtId="2" fontId="13" fillId="0" borderId="53" xfId="0" applyNumberFormat="1" applyFont="1" applyBorder="1" applyAlignment="1">
      <alignment horizontal="center"/>
    </xf>
    <xf numFmtId="0" fontId="88" fillId="57" borderId="0" xfId="0" applyFont="1" applyFill="1" applyBorder="1"/>
    <xf numFmtId="0" fontId="16" fillId="13" borderId="0" xfId="0" applyFont="1" applyFill="1"/>
    <xf numFmtId="9" fontId="13" fillId="13" borderId="0" xfId="2" applyFont="1" applyFill="1"/>
    <xf numFmtId="9" fontId="13" fillId="13" borderId="0" xfId="0" applyNumberFormat="1" applyFont="1" applyFill="1"/>
    <xf numFmtId="0" fontId="88" fillId="13" borderId="0" xfId="0" applyFont="1" applyFill="1"/>
    <xf numFmtId="166" fontId="13" fillId="13" borderId="0" xfId="0" applyNumberFormat="1" applyFont="1" applyFill="1"/>
    <xf numFmtId="0" fontId="88" fillId="13" borderId="0" xfId="0" applyFont="1" applyFill="1" applyBorder="1"/>
    <xf numFmtId="164" fontId="106" fillId="13" borderId="0" xfId="1" applyNumberFormat="1" applyFont="1" applyFill="1" applyAlignment="1">
      <alignment horizontal="center" vertical="center"/>
    </xf>
    <xf numFmtId="164" fontId="106" fillId="0" borderId="0" xfId="1" applyNumberFormat="1" applyFont="1" applyAlignment="1">
      <alignment horizontal="center" vertical="center"/>
    </xf>
    <xf numFmtId="9" fontId="106" fillId="0" borderId="0" xfId="2" applyFont="1" applyAlignment="1">
      <alignment horizontal="center" vertical="center"/>
    </xf>
    <xf numFmtId="9" fontId="107" fillId="0" borderId="0" xfId="2" applyFont="1"/>
    <xf numFmtId="9" fontId="107" fillId="0" borderId="0" xfId="0" applyNumberFormat="1" applyFont="1"/>
    <xf numFmtId="0" fontId="85" fillId="13" borderId="4" xfId="8" applyFont="1" applyFill="1" applyBorder="1" applyAlignment="1">
      <alignment horizontal="right"/>
    </xf>
    <xf numFmtId="0" fontId="85" fillId="13" borderId="0" xfId="8" applyFont="1" applyFill="1" applyBorder="1" applyAlignment="1">
      <alignment horizontal="right"/>
    </xf>
    <xf numFmtId="166" fontId="13" fillId="0" borderId="0" xfId="0" applyNumberFormat="1" applyFont="1" applyAlignment="1">
      <alignment horizontal="center" vertical="center"/>
    </xf>
    <xf numFmtId="166" fontId="13" fillId="14" borderId="0" xfId="0" applyNumberFormat="1" applyFont="1" applyFill="1" applyAlignment="1">
      <alignment horizontal="center" vertical="center"/>
    </xf>
    <xf numFmtId="0" fontId="85" fillId="13" borderId="0" xfId="8" applyFont="1" applyFill="1" applyBorder="1" applyAlignment="1">
      <alignment horizontal="left"/>
    </xf>
    <xf numFmtId="2" fontId="111" fillId="8" borderId="10" xfId="0" applyNumberFormat="1" applyFont="1" applyFill="1" applyBorder="1" applyAlignment="1">
      <alignment vertical="top"/>
    </xf>
    <xf numFmtId="0" fontId="111" fillId="9" borderId="10" xfId="0" applyFont="1" applyFill="1" applyBorder="1" applyAlignment="1">
      <alignment vertical="top"/>
    </xf>
    <xf numFmtId="10" fontId="15" fillId="14" borderId="0" xfId="0" applyNumberFormat="1" applyFont="1" applyFill="1"/>
    <xf numFmtId="166" fontId="106" fillId="13" borderId="0" xfId="2" applyNumberFormat="1" applyFont="1" applyFill="1" applyAlignment="1">
      <alignment horizontal="center" vertical="center"/>
    </xf>
    <xf numFmtId="164" fontId="13" fillId="14" borderId="0" xfId="1" applyNumberFormat="1" applyFont="1" applyFill="1" applyAlignment="1">
      <alignment horizontal="center" vertical="center"/>
    </xf>
    <xf numFmtId="164" fontId="106" fillId="14" borderId="0" xfId="1" applyNumberFormat="1" applyFont="1" applyFill="1" applyAlignment="1">
      <alignment horizontal="center" vertical="center"/>
    </xf>
    <xf numFmtId="166" fontId="106" fillId="14" borderId="0" xfId="2" applyNumberFormat="1" applyFont="1" applyFill="1" applyAlignment="1">
      <alignment horizontal="center" vertical="center"/>
    </xf>
    <xf numFmtId="0" fontId="0" fillId="14" borderId="0" xfId="0" applyFill="1"/>
    <xf numFmtId="0" fontId="0" fillId="0" borderId="0" xfId="0" applyAlignment="1">
      <alignment horizontal="center"/>
    </xf>
    <xf numFmtId="171" fontId="0" fillId="0" borderId="0" xfId="1" applyNumberFormat="1" applyFont="1"/>
    <xf numFmtId="164" fontId="0" fillId="0" borderId="0" xfId="1" applyNumberFormat="1" applyFont="1"/>
    <xf numFmtId="9" fontId="0" fillId="0" borderId="0" xfId="2" applyFont="1"/>
    <xf numFmtId="166" fontId="0" fillId="0" borderId="0" xfId="2" applyNumberFormat="1" applyFont="1"/>
    <xf numFmtId="166" fontId="0" fillId="0" borderId="0" xfId="0" applyNumberFormat="1"/>
    <xf numFmtId="10" fontId="0" fillId="0" borderId="0" xfId="0" applyNumberFormat="1"/>
    <xf numFmtId="164" fontId="0" fillId="0" borderId="0" xfId="0" applyNumberFormat="1"/>
    <xf numFmtId="0" fontId="0" fillId="59" borderId="0" xfId="0" applyFill="1"/>
    <xf numFmtId="171" fontId="96" fillId="0" borderId="0" xfId="0" applyNumberFormat="1" applyFont="1"/>
    <xf numFmtId="164" fontId="96" fillId="0" borderId="0" xfId="0" applyNumberFormat="1" applyFont="1"/>
    <xf numFmtId="171" fontId="0" fillId="0" borderId="0" xfId="0" applyNumberFormat="1" applyFill="1"/>
    <xf numFmtId="164" fontId="0" fillId="0" borderId="0" xfId="0" applyNumberFormat="1" applyFill="1"/>
    <xf numFmtId="171" fontId="0" fillId="0" borderId="0" xfId="0" applyNumberFormat="1"/>
    <xf numFmtId="164" fontId="0" fillId="0" borderId="0" xfId="1" applyNumberFormat="1" applyFont="1" applyFill="1"/>
    <xf numFmtId="164" fontId="0" fillId="59" borderId="0" xfId="1" applyNumberFormat="1" applyFont="1" applyFill="1"/>
    <xf numFmtId="164" fontId="0" fillId="59" borderId="0" xfId="0" applyNumberFormat="1" applyFill="1"/>
    <xf numFmtId="0" fontId="14" fillId="0" borderId="0" xfId="0" applyFont="1" applyAlignment="1">
      <alignment vertical="center" wrapText="1"/>
    </xf>
    <xf numFmtId="10" fontId="0" fillId="59" borderId="0" xfId="0" applyNumberFormat="1" applyFill="1"/>
    <xf numFmtId="2" fontId="0" fillId="0" borderId="0" xfId="0" applyNumberFormat="1"/>
    <xf numFmtId="10" fontId="0" fillId="0" borderId="0" xfId="0" applyNumberFormat="1" applyFill="1"/>
    <xf numFmtId="0" fontId="14" fillId="0" borderId="0" xfId="0" applyFont="1" applyAlignment="1">
      <alignment vertical="center"/>
    </xf>
    <xf numFmtId="0" fontId="83" fillId="0" borderId="0" xfId="0" applyFont="1" applyAlignment="1">
      <alignment vertical="center"/>
    </xf>
    <xf numFmtId="0" fontId="42" fillId="0" borderId="0" xfId="3" applyAlignment="1" applyProtection="1">
      <alignment vertical="center"/>
    </xf>
    <xf numFmtId="0" fontId="0" fillId="57" borderId="0" xfId="0" applyFill="1"/>
    <xf numFmtId="164" fontId="14" fillId="0" borderId="0" xfId="1" applyNumberFormat="1" applyFont="1" applyAlignment="1">
      <alignment horizontal="right"/>
    </xf>
    <xf numFmtId="0" fontId="14" fillId="0" borderId="0" xfId="0" applyFont="1" applyAlignment="1">
      <alignment horizontal="center" vertical="center"/>
    </xf>
    <xf numFmtId="173" fontId="0" fillId="0" borderId="0" xfId="2" applyNumberFormat="1" applyFont="1"/>
    <xf numFmtId="164" fontId="107" fillId="0" borderId="0" xfId="1" applyNumberFormat="1" applyFont="1" applyFill="1"/>
    <xf numFmtId="2" fontId="0" fillId="59" borderId="0" xfId="0" applyNumberFormat="1" applyFill="1"/>
    <xf numFmtId="10" fontId="14" fillId="0" borderId="0" xfId="2" applyNumberFormat="1" applyFont="1"/>
    <xf numFmtId="10" fontId="0" fillId="59" borderId="0" xfId="2" applyNumberFormat="1" applyFont="1" applyFill="1"/>
    <xf numFmtId="0" fontId="14" fillId="0" borderId="0" xfId="0" applyFont="1" applyAlignment="1">
      <alignment wrapText="1"/>
    </xf>
    <xf numFmtId="174" fontId="0" fillId="0" borderId="0" xfId="0" applyNumberFormat="1"/>
    <xf numFmtId="0" fontId="56" fillId="0" borderId="0" xfId="0" applyFont="1"/>
    <xf numFmtId="0" fontId="14" fillId="0" borderId="0" xfId="0" applyFont="1" applyAlignment="1">
      <alignment horizontal="center"/>
    </xf>
    <xf numFmtId="0" fontId="0" fillId="0" borderId="0" xfId="0" applyFill="1" applyBorder="1"/>
    <xf numFmtId="0" fontId="96" fillId="0" borderId="0" xfId="0" applyFont="1"/>
    <xf numFmtId="0" fontId="13" fillId="14" borderId="0" xfId="0" applyFont="1" applyFill="1" applyAlignment="1">
      <alignment horizontal="center" vertical="center"/>
    </xf>
    <xf numFmtId="0" fontId="13" fillId="14" borderId="48" xfId="0" applyFont="1" applyFill="1" applyBorder="1" applyAlignment="1">
      <alignment horizontal="center" vertical="center"/>
    </xf>
    <xf numFmtId="0" fontId="14" fillId="59" borderId="0" xfId="0" applyFont="1" applyFill="1" applyAlignment="1">
      <alignment horizontal="center"/>
    </xf>
    <xf numFmtId="0" fontId="0" fillId="59" borderId="0" xfId="0" applyFill="1" applyAlignment="1">
      <alignment horizontal="center"/>
    </xf>
    <xf numFmtId="10" fontId="0" fillId="0" borderId="0" xfId="2" applyNumberFormat="1" applyFont="1" applyFill="1" applyBorder="1" applyAlignment="1">
      <alignment horizontal="center"/>
    </xf>
    <xf numFmtId="2" fontId="0" fillId="0" borderId="0" xfId="0" applyNumberFormat="1" applyAlignment="1">
      <alignment horizontal="center"/>
    </xf>
    <xf numFmtId="0" fontId="53" fillId="0" borderId="0" xfId="84" applyFont="1" applyFill="1" applyAlignment="1">
      <alignment horizontal="left"/>
    </xf>
    <xf numFmtId="0" fontId="14" fillId="0" borderId="0" xfId="0" applyFont="1" applyFill="1" applyAlignment="1">
      <alignment horizontal="center"/>
    </xf>
    <xf numFmtId="166" fontId="0" fillId="0" borderId="0" xfId="2" applyNumberFormat="1" applyFont="1" applyFill="1"/>
    <xf numFmtId="0" fontId="14" fillId="0" borderId="0" xfId="0" applyFont="1" applyFill="1"/>
    <xf numFmtId="0" fontId="14" fillId="0" borderId="0" xfId="0" applyFont="1" applyAlignment="1">
      <alignment horizontal="center" wrapText="1"/>
    </xf>
    <xf numFmtId="166" fontId="0" fillId="0" borderId="0" xfId="0" applyNumberFormat="1" applyFill="1"/>
    <xf numFmtId="2" fontId="0" fillId="0" borderId="0" xfId="0" applyNumberFormat="1" applyFill="1" applyAlignment="1">
      <alignment horizontal="center"/>
    </xf>
    <xf numFmtId="0" fontId="14" fillId="0" borderId="0" xfId="88"/>
    <xf numFmtId="10" fontId="112" fillId="0" borderId="0" xfId="0" applyNumberFormat="1" applyFont="1"/>
    <xf numFmtId="0" fontId="112" fillId="0" borderId="0" xfId="0" applyFont="1"/>
    <xf numFmtId="10" fontId="113" fillId="0" borderId="0" xfId="2" applyNumberFormat="1" applyFont="1" applyFill="1" applyAlignment="1">
      <alignment horizontal="center"/>
    </xf>
    <xf numFmtId="0" fontId="0" fillId="0" borderId="12" xfId="0" applyBorder="1" applyAlignment="1">
      <alignment horizontal="center"/>
    </xf>
    <xf numFmtId="0" fontId="0" fillId="0" borderId="0" xfId="0" applyAlignment="1">
      <alignment horizontal="center"/>
    </xf>
    <xf numFmtId="0" fontId="14" fillId="0" borderId="12" xfId="0" applyFont="1" applyBorder="1" applyAlignment="1">
      <alignment horizontal="center"/>
    </xf>
    <xf numFmtId="175" fontId="0" fillId="0" borderId="0" xfId="2" applyNumberFormat="1" applyFont="1"/>
    <xf numFmtId="2" fontId="0" fillId="0" borderId="0" xfId="0" applyNumberFormat="1" applyBorder="1"/>
    <xf numFmtId="1" fontId="0" fillId="0" borderId="0" xfId="0" applyNumberFormat="1" applyBorder="1"/>
    <xf numFmtId="10" fontId="0" fillId="0" borderId="0" xfId="2" applyNumberFormat="1" applyFont="1" applyAlignment="1">
      <alignment horizontal="center"/>
    </xf>
    <xf numFmtId="10" fontId="0" fillId="59" borderId="0" xfId="2" applyNumberFormat="1" applyFont="1" applyFill="1" applyAlignment="1">
      <alignment horizontal="center"/>
    </xf>
    <xf numFmtId="0" fontId="14" fillId="0" borderId="12" xfId="0" applyFont="1" applyBorder="1" applyAlignment="1">
      <alignment horizontal="center" wrapText="1"/>
    </xf>
    <xf numFmtId="0" fontId="0" fillId="0" borderId="12" xfId="0" applyBorder="1" applyAlignment="1">
      <alignment horizontal="center"/>
    </xf>
    <xf numFmtId="0" fontId="0" fillId="0" borderId="0" xfId="0" applyAlignment="1">
      <alignment horizontal="center"/>
    </xf>
    <xf numFmtId="176" fontId="0" fillId="0" borderId="0" xfId="0" applyNumberFormat="1"/>
    <xf numFmtId="165" fontId="0" fillId="0" borderId="0" xfId="0" applyNumberFormat="1" applyAlignment="1">
      <alignment horizontal="center"/>
    </xf>
    <xf numFmtId="164" fontId="100" fillId="14" borderId="0" xfId="0" applyNumberFormat="1" applyFont="1" applyFill="1" applyAlignment="1">
      <alignment horizontal="center" vertical="center"/>
    </xf>
    <xf numFmtId="10" fontId="0" fillId="14" borderId="0" xfId="2" applyNumberFormat="1" applyFont="1" applyFill="1"/>
    <xf numFmtId="43" fontId="0" fillId="0" borderId="0" xfId="0" applyNumberFormat="1" applyFill="1" applyAlignment="1">
      <alignment horizontal="center"/>
    </xf>
    <xf numFmtId="176" fontId="0" fillId="0" borderId="0" xfId="0" applyNumberFormat="1" applyFill="1"/>
    <xf numFmtId="164" fontId="14" fillId="0" borderId="0" xfId="1" applyNumberFormat="1" applyFont="1" applyFill="1" applyAlignment="1">
      <alignment horizontal="right"/>
    </xf>
    <xf numFmtId="164" fontId="0" fillId="0" borderId="0" xfId="0" applyNumberFormat="1" applyFill="1" applyAlignment="1">
      <alignment horizontal="center"/>
    </xf>
    <xf numFmtId="0" fontId="0" fillId="0" borderId="2" xfId="0" applyBorder="1"/>
    <xf numFmtId="0" fontId="0" fillId="0" borderId="3" xfId="0" applyBorder="1"/>
    <xf numFmtId="0" fontId="0" fillId="0" borderId="4" xfId="0" applyBorder="1"/>
    <xf numFmtId="2" fontId="0" fillId="0" borderId="5" xfId="0" applyNumberFormat="1" applyBorder="1"/>
    <xf numFmtId="1" fontId="0" fillId="0" borderId="5" xfId="0" applyNumberFormat="1" applyBorder="1"/>
    <xf numFmtId="176" fontId="0" fillId="0" borderId="5" xfId="0" applyNumberFormat="1" applyBorder="1"/>
    <xf numFmtId="0" fontId="14" fillId="0" borderId="7" xfId="0" applyFont="1" applyBorder="1"/>
    <xf numFmtId="0" fontId="0" fillId="0" borderId="8" xfId="0" applyBorder="1"/>
    <xf numFmtId="0" fontId="112" fillId="60" borderId="20" xfId="0" applyFont="1" applyFill="1" applyBorder="1"/>
    <xf numFmtId="0" fontId="112" fillId="60" borderId="20" xfId="0" applyFont="1" applyFill="1" applyBorder="1" applyAlignment="1">
      <alignment horizontal="center"/>
    </xf>
    <xf numFmtId="164" fontId="112" fillId="60" borderId="20" xfId="1" applyNumberFormat="1" applyFont="1" applyFill="1" applyBorder="1"/>
    <xf numFmtId="164" fontId="116" fillId="60" borderId="20" xfId="0" applyNumberFormat="1" applyFont="1" applyFill="1" applyBorder="1"/>
    <xf numFmtId="171" fontId="116" fillId="60" borderId="20" xfId="0" applyNumberFormat="1" applyFont="1" applyFill="1" applyBorder="1"/>
    <xf numFmtId="164" fontId="112" fillId="60" borderId="20" xfId="0" applyNumberFormat="1" applyFont="1" applyFill="1" applyBorder="1"/>
    <xf numFmtId="43" fontId="112" fillId="60" borderId="20" xfId="0" applyNumberFormat="1" applyFont="1" applyFill="1" applyBorder="1" applyAlignment="1">
      <alignment horizontal="center"/>
    </xf>
    <xf numFmtId="171" fontId="112" fillId="60" borderId="20" xfId="0" applyNumberFormat="1" applyFont="1" applyFill="1" applyBorder="1"/>
    <xf numFmtId="0" fontId="0" fillId="0" borderId="1" xfId="0" applyBorder="1"/>
    <xf numFmtId="0" fontId="14" fillId="0" borderId="2" xfId="0" applyFont="1" applyBorder="1"/>
    <xf numFmtId="0" fontId="14" fillId="0" borderId="4" xfId="0" applyFont="1" applyBorder="1" applyAlignment="1">
      <alignment horizontal="left"/>
    </xf>
    <xf numFmtId="0" fontId="14" fillId="0" borderId="6" xfId="0" applyFont="1" applyBorder="1" applyAlignment="1">
      <alignment horizontal="left"/>
    </xf>
    <xf numFmtId="0" fontId="14" fillId="0" borderId="2" xfId="0" applyFont="1" applyBorder="1" applyAlignment="1">
      <alignment horizontal="center"/>
    </xf>
    <xf numFmtId="10" fontId="0" fillId="0" borderId="0" xfId="0" applyNumberFormat="1" applyBorder="1" applyAlignment="1">
      <alignment horizontal="center"/>
    </xf>
    <xf numFmtId="10" fontId="0" fillId="0" borderId="7" xfId="0" applyNumberFormat="1" applyBorder="1" applyAlignment="1">
      <alignment horizontal="center"/>
    </xf>
    <xf numFmtId="10" fontId="0" fillId="0" borderId="2" xfId="2" applyNumberFormat="1" applyFont="1" applyBorder="1"/>
    <xf numFmtId="0" fontId="14" fillId="0" borderId="6" xfId="0" applyFont="1" applyFill="1" applyBorder="1"/>
    <xf numFmtId="0" fontId="0" fillId="0" borderId="7" xfId="0" applyFill="1" applyBorder="1"/>
    <xf numFmtId="0" fontId="14" fillId="0" borderId="7" xfId="0" applyFont="1" applyFill="1" applyBorder="1"/>
    <xf numFmtId="0" fontId="14" fillId="0" borderId="6" xfId="0" applyFont="1" applyBorder="1"/>
    <xf numFmtId="2" fontId="14" fillId="0" borderId="0" xfId="0" applyNumberFormat="1" applyFont="1" applyFill="1" applyAlignment="1">
      <alignment horizontal="center"/>
    </xf>
    <xf numFmtId="10" fontId="0" fillId="0" borderId="12" xfId="2" applyNumberFormat="1" applyFont="1" applyBorder="1" applyAlignment="1">
      <alignment horizontal="center"/>
    </xf>
    <xf numFmtId="0" fontId="0" fillId="0" borderId="0" xfId="0" applyFill="1" applyBorder="1" applyAlignment="1">
      <alignment horizontal="center"/>
    </xf>
    <xf numFmtId="0" fontId="14" fillId="0" borderId="0" xfId="0" applyFont="1" applyAlignment="1">
      <alignment horizontal="center" vertical="center" wrapText="1"/>
    </xf>
    <xf numFmtId="177" fontId="14" fillId="0" borderId="0" xfId="88" applyNumberFormat="1" applyFont="1" applyFill="1" applyBorder="1" applyAlignment="1" applyProtection="1"/>
    <xf numFmtId="178" fontId="14" fillId="0" borderId="0" xfId="88" applyNumberFormat="1" applyFont="1" applyFill="1" applyBorder="1" applyAlignment="1" applyProtection="1"/>
    <xf numFmtId="178" fontId="14" fillId="0" borderId="0" xfId="88" applyNumberFormat="1"/>
    <xf numFmtId="10" fontId="96" fillId="0" borderId="0" xfId="0" applyNumberFormat="1" applyFont="1"/>
    <xf numFmtId="2" fontId="14" fillId="0" borderId="0" xfId="0" applyNumberFormat="1" applyFont="1" applyAlignment="1">
      <alignment horizontal="center"/>
    </xf>
    <xf numFmtId="2" fontId="0" fillId="0" borderId="12" xfId="0" applyNumberFormat="1" applyBorder="1" applyAlignment="1">
      <alignment horizontal="center"/>
    </xf>
    <xf numFmtId="176" fontId="0" fillId="0" borderId="0" xfId="0" applyNumberFormat="1" applyAlignment="1">
      <alignment horizontal="center"/>
    </xf>
    <xf numFmtId="2" fontId="112" fillId="60" borderId="20" xfId="0" applyNumberFormat="1" applyFont="1" applyFill="1" applyBorder="1" applyAlignment="1">
      <alignment horizontal="center"/>
    </xf>
    <xf numFmtId="0" fontId="14" fillId="0" borderId="29" xfId="0" applyFont="1" applyBorder="1"/>
    <xf numFmtId="0" fontId="0" fillId="0" borderId="30" xfId="0" applyBorder="1"/>
    <xf numFmtId="2" fontId="0" fillId="0" borderId="31" xfId="0" applyNumberFormat="1" applyFill="1" applyBorder="1"/>
    <xf numFmtId="0" fontId="14" fillId="57" borderId="0" xfId="0" applyFont="1"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xf>
    <xf numFmtId="0" fontId="14" fillId="0" borderId="0" xfId="0" applyFont="1" applyFill="1" applyBorder="1" applyAlignment="1">
      <alignment horizontal="center"/>
    </xf>
    <xf numFmtId="10" fontId="0" fillId="0" borderId="0" xfId="2" applyNumberFormat="1" applyFont="1" applyBorder="1" applyAlignment="1">
      <alignment horizontal="center"/>
    </xf>
    <xf numFmtId="10" fontId="14" fillId="0" borderId="0" xfId="0" applyNumberFormat="1" applyFont="1"/>
    <xf numFmtId="164" fontId="14" fillId="0" borderId="0" xfId="0" applyNumberFormat="1" applyFont="1"/>
    <xf numFmtId="0" fontId="107" fillId="0" borderId="0" xfId="0" applyFont="1"/>
    <xf numFmtId="0" fontId="2" fillId="0" borderId="0" xfId="92"/>
    <xf numFmtId="0" fontId="116" fillId="60" borderId="20" xfId="0" applyFont="1" applyFill="1" applyBorder="1"/>
    <xf numFmtId="10" fontId="0" fillId="61" borderId="0" xfId="2" applyNumberFormat="1" applyFont="1" applyFill="1"/>
    <xf numFmtId="171" fontId="14" fillId="0" borderId="0" xfId="0" applyNumberFormat="1" applyFont="1" applyFill="1"/>
    <xf numFmtId="0" fontId="14" fillId="0" borderId="3" xfId="0" applyFont="1" applyFill="1" applyBorder="1" applyAlignment="1">
      <alignment horizontal="center"/>
    </xf>
    <xf numFmtId="9" fontId="0" fillId="0" borderId="5" xfId="0" applyNumberFormat="1" applyFill="1" applyBorder="1" applyAlignment="1">
      <alignment horizontal="center"/>
    </xf>
    <xf numFmtId="10" fontId="0" fillId="0" borderId="8" xfId="2" applyNumberFormat="1" applyFont="1" applyFill="1" applyBorder="1"/>
    <xf numFmtId="166" fontId="113" fillId="0" borderId="0" xfId="2" applyNumberFormat="1" applyFont="1" applyFill="1" applyAlignment="1">
      <alignment horizontal="center"/>
    </xf>
    <xf numFmtId="0" fontId="113" fillId="0" borderId="0" xfId="0" applyFont="1"/>
    <xf numFmtId="0" fontId="115" fillId="0" borderId="0" xfId="0" applyFont="1" applyFill="1" applyBorder="1"/>
    <xf numFmtId="10" fontId="115" fillId="0" borderId="0" xfId="2" applyNumberFormat="1" applyFont="1" applyFill="1" applyAlignment="1">
      <alignment horizontal="center"/>
    </xf>
    <xf numFmtId="0" fontId="113" fillId="0" borderId="0" xfId="0" applyFont="1" applyFill="1"/>
    <xf numFmtId="0" fontId="113" fillId="0" borderId="0" xfId="0" applyFont="1" applyFill="1" applyAlignment="1">
      <alignment horizontal="center"/>
    </xf>
    <xf numFmtId="0" fontId="113" fillId="0" borderId="0" xfId="0" applyFont="1" applyAlignment="1">
      <alignment horizontal="center"/>
    </xf>
    <xf numFmtId="0" fontId="77" fillId="0" borderId="0" xfId="0" applyFont="1"/>
    <xf numFmtId="172" fontId="14" fillId="0" borderId="0" xfId="0" applyNumberFormat="1" applyFont="1" applyFill="1"/>
    <xf numFmtId="43" fontId="0" fillId="0" borderId="0" xfId="1" applyNumberFormat="1" applyFont="1" applyFill="1"/>
    <xf numFmtId="0" fontId="0" fillId="0" borderId="0" xfId="0"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0" xfId="0" applyAlignment="1">
      <alignment horizontal="center"/>
    </xf>
    <xf numFmtId="0" fontId="0" fillId="19" borderId="0" xfId="0" applyFill="1"/>
    <xf numFmtId="0" fontId="14" fillId="19" borderId="0" xfId="0" applyFont="1" applyFill="1" applyAlignment="1">
      <alignment horizontal="center"/>
    </xf>
    <xf numFmtId="0" fontId="0" fillId="19" borderId="0" xfId="0" applyFill="1" applyAlignment="1">
      <alignment horizontal="center"/>
    </xf>
    <xf numFmtId="0" fontId="0" fillId="57" borderId="0" xfId="0" applyFill="1" applyAlignment="1">
      <alignment horizontal="center"/>
    </xf>
    <xf numFmtId="164" fontId="14" fillId="0" borderId="0" xfId="0" applyNumberFormat="1" applyFont="1" applyFill="1"/>
    <xf numFmtId="9" fontId="0" fillId="0" borderId="0" xfId="0" applyNumberFormat="1" applyFill="1" applyBorder="1" applyAlignment="1">
      <alignment horizontal="center"/>
    </xf>
    <xf numFmtId="10" fontId="0" fillId="0" borderId="0" xfId="2" applyNumberFormat="1" applyFont="1" applyFill="1" applyBorder="1"/>
    <xf numFmtId="0" fontId="0" fillId="62" borderId="0" xfId="0" applyFill="1" applyAlignment="1">
      <alignment horizontal="center" vertical="center" wrapText="1"/>
    </xf>
    <xf numFmtId="172" fontId="96" fillId="0" borderId="0" xfId="0" applyNumberFormat="1" applyFont="1" applyFill="1"/>
    <xf numFmtId="0" fontId="14" fillId="0" borderId="12" xfId="0" applyFont="1" applyBorder="1"/>
    <xf numFmtId="164" fontId="0" fillId="0" borderId="12" xfId="0" applyNumberFormat="1" applyFill="1" applyBorder="1"/>
    <xf numFmtId="164" fontId="0" fillId="0" borderId="12" xfId="0" applyNumberFormat="1" applyBorder="1"/>
    <xf numFmtId="43" fontId="0" fillId="0" borderId="12" xfId="0" applyNumberFormat="1" applyFill="1" applyBorder="1" applyAlignment="1">
      <alignment horizontal="center"/>
    </xf>
    <xf numFmtId="164" fontId="0" fillId="0" borderId="12" xfId="1" applyNumberFormat="1" applyFont="1" applyFill="1" applyBorder="1"/>
    <xf numFmtId="164" fontId="0" fillId="0" borderId="12" xfId="1" applyNumberFormat="1" applyFont="1" applyBorder="1"/>
    <xf numFmtId="171" fontId="0" fillId="0" borderId="12" xfId="0" applyNumberFormat="1" applyFill="1" applyBorder="1"/>
    <xf numFmtId="2" fontId="0" fillId="0" borderId="12" xfId="0" applyNumberFormat="1" applyFill="1" applyBorder="1" applyAlignment="1">
      <alignment horizontal="center"/>
    </xf>
    <xf numFmtId="164" fontId="14" fillId="0" borderId="12" xfId="0" applyNumberFormat="1" applyFont="1" applyBorder="1"/>
    <xf numFmtId="0" fontId="0" fillId="0" borderId="1" xfId="0" applyBorder="1" applyAlignment="1">
      <alignment horizontal="left"/>
    </xf>
    <xf numFmtId="0" fontId="0" fillId="0" borderId="4" xfId="0" applyBorder="1" applyAlignment="1">
      <alignment horizontal="center"/>
    </xf>
    <xf numFmtId="164" fontId="0" fillId="0" borderId="0" xfId="0" applyNumberFormat="1" applyBorder="1"/>
    <xf numFmtId="10" fontId="0" fillId="0" borderId="0" xfId="2" applyNumberFormat="1" applyFont="1" applyBorder="1"/>
    <xf numFmtId="164" fontId="0" fillId="0" borderId="0" xfId="1" applyNumberFormat="1" applyFont="1" applyBorder="1"/>
    <xf numFmtId="0" fontId="0" fillId="0" borderId="6" xfId="0" applyBorder="1" applyAlignment="1">
      <alignment horizontal="center"/>
    </xf>
    <xf numFmtId="0" fontId="0" fillId="0" borderId="7" xfId="0" applyBorder="1"/>
    <xf numFmtId="172" fontId="116" fillId="60" borderId="20" xfId="0" applyNumberFormat="1" applyFont="1" applyFill="1" applyBorder="1"/>
    <xf numFmtId="10" fontId="112" fillId="60" borderId="20" xfId="2" applyNumberFormat="1" applyFont="1" applyFill="1" applyBorder="1"/>
    <xf numFmtId="10" fontId="0" fillId="0" borderId="7" xfId="2" applyNumberFormat="1" applyFont="1" applyBorder="1" applyAlignment="1">
      <alignment horizontal="center"/>
    </xf>
    <xf numFmtId="0" fontId="0" fillId="0" borderId="2" xfId="0" applyBorder="1" applyAlignment="1">
      <alignment horizontal="center"/>
    </xf>
    <xf numFmtId="164" fontId="0" fillId="0" borderId="0" xfId="1" applyNumberFormat="1" applyFont="1" applyBorder="1" applyAlignment="1">
      <alignment horizontal="center"/>
    </xf>
    <xf numFmtId="0" fontId="0" fillId="0" borderId="4" xfId="0" applyBorder="1" applyAlignment="1">
      <alignment horizontal="left"/>
    </xf>
    <xf numFmtId="164" fontId="0" fillId="0" borderId="0" xfId="0" applyNumberFormat="1" applyBorder="1" applyAlignment="1">
      <alignment horizontal="center"/>
    </xf>
    <xf numFmtId="43" fontId="0" fillId="0" borderId="0" xfId="1" applyFont="1" applyBorder="1" applyAlignment="1">
      <alignment horizontal="center"/>
    </xf>
    <xf numFmtId="0" fontId="0" fillId="0" borderId="0" xfId="0" applyBorder="1" applyAlignment="1">
      <alignment horizontal="left"/>
    </xf>
    <xf numFmtId="0" fontId="0" fillId="0" borderId="0" xfId="0" applyBorder="1" applyAlignment="1">
      <alignment wrapText="1"/>
    </xf>
    <xf numFmtId="0" fontId="0" fillId="63" borderId="3" xfId="0" applyFill="1" applyBorder="1" applyAlignment="1">
      <alignment horizontal="left" wrapText="1"/>
    </xf>
    <xf numFmtId="0" fontId="0" fillId="63" borderId="5" xfId="0" applyFill="1" applyBorder="1" applyAlignment="1">
      <alignment wrapText="1"/>
    </xf>
    <xf numFmtId="166" fontId="0" fillId="63" borderId="6" xfId="0" applyNumberFormat="1" applyFill="1" applyBorder="1" applyAlignment="1">
      <alignment horizontal="center"/>
    </xf>
    <xf numFmtId="0" fontId="0" fillId="63" borderId="8" xfId="0" applyFill="1" applyBorder="1" applyAlignment="1">
      <alignment wrapText="1"/>
    </xf>
    <xf numFmtId="9" fontId="0" fillId="0" borderId="0" xfId="0" applyNumberFormat="1" applyBorder="1" applyAlignment="1">
      <alignment horizontal="left"/>
    </xf>
    <xf numFmtId="0" fontId="124" fillId="0" borderId="0" xfId="0" applyFont="1" applyFill="1"/>
    <xf numFmtId="0" fontId="117" fillId="0" borderId="0" xfId="0" applyFont="1"/>
    <xf numFmtId="0" fontId="117" fillId="0" borderId="0" xfId="0" applyFont="1" applyFill="1" applyBorder="1"/>
    <xf numFmtId="0" fontId="117" fillId="0" borderId="0" xfId="0" applyFont="1" applyFill="1" applyAlignment="1">
      <alignment horizontal="center"/>
    </xf>
    <xf numFmtId="0" fontId="117" fillId="0" borderId="0" xfId="0" applyFont="1" applyBorder="1" applyAlignment="1">
      <alignment horizontal="center"/>
    </xf>
    <xf numFmtId="0" fontId="117" fillId="0" borderId="0" xfId="0" applyFont="1" applyAlignment="1">
      <alignment horizontal="center"/>
    </xf>
    <xf numFmtId="0" fontId="117" fillId="0" borderId="0" xfId="0" applyFont="1" applyFill="1" applyBorder="1" applyAlignment="1">
      <alignment horizontal="center"/>
    </xf>
    <xf numFmtId="0" fontId="117" fillId="0" borderId="0" xfId="0" applyFont="1" applyFill="1"/>
    <xf numFmtId="0" fontId="115" fillId="0" borderId="0" xfId="0" applyFont="1"/>
    <xf numFmtId="164" fontId="113" fillId="0" borderId="0" xfId="1" applyNumberFormat="1" applyFont="1" applyFill="1"/>
    <xf numFmtId="0" fontId="113" fillId="0" borderId="0" xfId="0" applyFont="1" applyFill="1" applyBorder="1"/>
    <xf numFmtId="0" fontId="113" fillId="0" borderId="0" xfId="0" applyFont="1" applyBorder="1" applyAlignment="1">
      <alignment horizontal="center"/>
    </xf>
    <xf numFmtId="0" fontId="77" fillId="0" borderId="0" xfId="0" applyFont="1" applyFill="1"/>
    <xf numFmtId="0" fontId="77" fillId="0" borderId="0" xfId="0" applyFont="1" applyAlignment="1">
      <alignment horizontal="center"/>
    </xf>
    <xf numFmtId="0" fontId="77" fillId="0" borderId="0" xfId="0" applyFont="1" applyBorder="1" applyAlignment="1">
      <alignment horizontal="center"/>
    </xf>
    <xf numFmtId="2" fontId="77" fillId="0" borderId="0" xfId="0" applyNumberFormat="1" applyFont="1" applyFill="1" applyAlignment="1">
      <alignment horizontal="center"/>
    </xf>
    <xf numFmtId="0" fontId="77" fillId="0" borderId="0" xfId="0" applyFont="1" applyBorder="1"/>
    <xf numFmtId="37" fontId="113" fillId="0" borderId="0" xfId="1" applyNumberFormat="1" applyFont="1" applyFill="1" applyAlignment="1">
      <alignment horizontal="center"/>
    </xf>
    <xf numFmtId="179" fontId="113" fillId="0" borderId="0" xfId="0" applyNumberFormat="1" applyFont="1" applyFill="1" applyAlignment="1">
      <alignment horizontal="center"/>
    </xf>
    <xf numFmtId="164" fontId="77" fillId="0" borderId="0" xfId="1" applyNumberFormat="1" applyFont="1" applyFill="1" applyBorder="1" applyAlignment="1">
      <alignment horizontal="center"/>
    </xf>
    <xf numFmtId="179" fontId="113" fillId="0" borderId="0" xfId="1" applyNumberFormat="1" applyFont="1" applyFill="1" applyAlignment="1">
      <alignment horizontal="center"/>
    </xf>
    <xf numFmtId="164" fontId="113" fillId="0" borderId="0" xfId="1" applyNumberFormat="1" applyFont="1" applyFill="1" applyAlignment="1">
      <alignment horizontal="center"/>
    </xf>
    <xf numFmtId="9" fontId="113" fillId="0" borderId="0" xfId="0" applyNumberFormat="1" applyFont="1" applyFill="1" applyAlignment="1">
      <alignment horizontal="center"/>
    </xf>
    <xf numFmtId="2" fontId="113" fillId="0" borderId="0" xfId="0" applyNumberFormat="1" applyFont="1" applyFill="1" applyAlignment="1">
      <alignment horizontal="center"/>
    </xf>
    <xf numFmtId="164" fontId="77" fillId="0" borderId="0" xfId="1" applyNumberFormat="1" applyFont="1" applyFill="1" applyBorder="1"/>
    <xf numFmtId="0" fontId="115" fillId="0" borderId="0" xfId="0" applyFont="1" applyFill="1"/>
    <xf numFmtId="164" fontId="115" fillId="0" borderId="0" xfId="1" applyNumberFormat="1" applyFont="1" applyFill="1"/>
    <xf numFmtId="164" fontId="118" fillId="0" borderId="0" xfId="1" applyNumberFormat="1" applyFont="1" applyFill="1" applyBorder="1"/>
    <xf numFmtId="10" fontId="118" fillId="0" borderId="0" xfId="2" applyNumberFormat="1" applyFont="1" applyFill="1" applyBorder="1" applyAlignment="1">
      <alignment horizontal="center"/>
    </xf>
    <xf numFmtId="9" fontId="115" fillId="0" borderId="0" xfId="0" applyNumberFormat="1" applyFont="1" applyFill="1" applyAlignment="1">
      <alignment horizontal="center"/>
    </xf>
    <xf numFmtId="10" fontId="115" fillId="0" borderId="0" xfId="0" applyNumberFormat="1" applyFont="1" applyFill="1" applyAlignment="1">
      <alignment horizontal="center"/>
    </xf>
    <xf numFmtId="0" fontId="77" fillId="0" borderId="0" xfId="0" applyFont="1" applyFill="1" applyAlignment="1">
      <alignment horizontal="center"/>
    </xf>
    <xf numFmtId="0" fontId="77" fillId="0" borderId="0" xfId="0" applyFont="1" applyFill="1" applyBorder="1" applyAlignment="1">
      <alignment horizontal="center"/>
    </xf>
    <xf numFmtId="0" fontId="113" fillId="0" borderId="0" xfId="0" applyFont="1" applyFill="1" applyBorder="1" applyAlignment="1">
      <alignment horizontal="center"/>
    </xf>
    <xf numFmtId="37" fontId="113" fillId="0" borderId="0" xfId="1" applyNumberFormat="1" applyFont="1" applyAlignment="1">
      <alignment horizontal="center"/>
    </xf>
    <xf numFmtId="164" fontId="113" fillId="0" borderId="0" xfId="1" applyNumberFormat="1" applyFont="1" applyFill="1" applyBorder="1" applyAlignment="1">
      <alignment horizontal="center"/>
    </xf>
    <xf numFmtId="10" fontId="115" fillId="0" borderId="0" xfId="2" applyNumberFormat="1" applyFont="1" applyAlignment="1">
      <alignment horizontal="center"/>
    </xf>
    <xf numFmtId="10" fontId="115" fillId="0" borderId="0" xfId="2" applyNumberFormat="1" applyFont="1" applyFill="1" applyBorder="1" applyAlignment="1">
      <alignment horizontal="center"/>
    </xf>
    <xf numFmtId="0" fontId="115" fillId="0" borderId="0" xfId="0" applyFont="1" applyFill="1" applyAlignment="1">
      <alignment horizontal="center"/>
    </xf>
    <xf numFmtId="10" fontId="124" fillId="0" borderId="0" xfId="0" applyNumberFormat="1" applyFont="1" applyFill="1" applyAlignment="1">
      <alignment horizontal="center"/>
    </xf>
    <xf numFmtId="0" fontId="0" fillId="0" borderId="0" xfId="0" applyAlignment="1">
      <alignment horizontal="center"/>
    </xf>
    <xf numFmtId="0" fontId="15" fillId="14" borderId="0" xfId="0" applyFont="1" applyFill="1" applyAlignment="1">
      <alignment horizontal="center" vertical="center"/>
    </xf>
    <xf numFmtId="0" fontId="13" fillId="14" borderId="9" xfId="0" applyFont="1" applyFill="1" applyBorder="1" applyAlignment="1">
      <alignment horizontal="center" vertical="center"/>
    </xf>
    <xf numFmtId="164" fontId="13" fillId="14" borderId="0" xfId="0" applyNumberFormat="1" applyFont="1" applyFill="1" applyAlignment="1">
      <alignment horizontal="center" vertical="center"/>
    </xf>
    <xf numFmtId="9" fontId="13" fillId="14" borderId="0" xfId="2" applyFont="1" applyFill="1" applyAlignment="1">
      <alignment horizontal="center" vertical="center"/>
    </xf>
    <xf numFmtId="9" fontId="13" fillId="14" borderId="0" xfId="2" applyNumberFormat="1" applyFont="1" applyFill="1" applyAlignment="1">
      <alignment horizontal="center" vertical="center"/>
    </xf>
    <xf numFmtId="0" fontId="0" fillId="14" borderId="0" xfId="0" applyFill="1" applyAlignment="1">
      <alignment horizontal="center" vertical="center"/>
    </xf>
    <xf numFmtId="0" fontId="14" fillId="14" borderId="0" xfId="0" applyFont="1" applyFill="1"/>
    <xf numFmtId="175" fontId="112" fillId="0" borderId="0" xfId="0" applyNumberFormat="1" applyFont="1"/>
    <xf numFmtId="173" fontId="112" fillId="0" borderId="0" xfId="0" applyNumberFormat="1" applyFont="1"/>
    <xf numFmtId="0" fontId="0" fillId="0" borderId="0" xfId="0" applyAlignment="1">
      <alignment horizontal="center"/>
    </xf>
    <xf numFmtId="0" fontId="0" fillId="0" borderId="0" xfId="0" applyAlignment="1">
      <alignment wrapText="1"/>
    </xf>
    <xf numFmtId="0" fontId="0" fillId="0" borderId="29" xfId="0" applyBorder="1"/>
    <xf numFmtId="0" fontId="0" fillId="0" borderId="30" xfId="0" applyBorder="1" applyAlignment="1">
      <alignment horizontal="center" wrapText="1"/>
    </xf>
    <xf numFmtId="0" fontId="113" fillId="0" borderId="30" xfId="0" applyFont="1" applyBorder="1"/>
    <xf numFmtId="0" fontId="127" fillId="0" borderId="0" xfId="0" applyFont="1"/>
    <xf numFmtId="0" fontId="127" fillId="0" borderId="0" xfId="0" applyFont="1" applyFill="1"/>
    <xf numFmtId="10" fontId="96" fillId="0" borderId="7" xfId="2" applyNumberFormat="1" applyFont="1" applyFill="1" applyBorder="1" applyAlignment="1">
      <alignment horizontal="center"/>
    </xf>
    <xf numFmtId="166" fontId="0" fillId="0" borderId="0" xfId="0" applyNumberFormat="1" applyFill="1" applyBorder="1"/>
    <xf numFmtId="9" fontId="0" fillId="0" borderId="0" xfId="0" applyNumberFormat="1" applyFill="1" applyBorder="1"/>
    <xf numFmtId="0" fontId="14" fillId="0" borderId="1" xfId="0" applyFont="1" applyBorder="1" applyAlignment="1">
      <alignment horizontal="center"/>
    </xf>
    <xf numFmtId="0" fontId="14" fillId="0" borderId="2" xfId="0" applyFont="1" applyBorder="1" applyAlignment="1">
      <alignment horizontal="left"/>
    </xf>
    <xf numFmtId="2" fontId="14" fillId="0" borderId="2" xfId="0" applyNumberFormat="1" applyFont="1" applyBorder="1"/>
    <xf numFmtId="0" fontId="14" fillId="0" borderId="7" xfId="0" applyFont="1" applyBorder="1" applyAlignment="1">
      <alignment horizontal="left"/>
    </xf>
    <xf numFmtId="0" fontId="14" fillId="0" borderId="7" xfId="0" applyFont="1" applyBorder="1" applyAlignment="1">
      <alignment horizontal="center"/>
    </xf>
    <xf numFmtId="2" fontId="14" fillId="0" borderId="7" xfId="0" applyNumberFormat="1" applyFont="1" applyBorder="1"/>
    <xf numFmtId="0" fontId="14" fillId="0" borderId="8" xfId="0" applyFont="1" applyBorder="1"/>
    <xf numFmtId="0" fontId="0" fillId="0" borderId="3" xfId="0" applyBorder="1" applyAlignment="1">
      <alignment horizontal="center"/>
    </xf>
    <xf numFmtId="166" fontId="0" fillId="0" borderId="5" xfId="2" applyNumberFormat="1" applyFont="1" applyBorder="1" applyAlignment="1">
      <alignment horizontal="center"/>
    </xf>
    <xf numFmtId="2" fontId="0" fillId="0" borderId="5" xfId="0" applyNumberFormat="1" applyBorder="1" applyAlignment="1">
      <alignment horizontal="center"/>
    </xf>
    <xf numFmtId="166" fontId="0" fillId="63" borderId="1" xfId="2" applyNumberFormat="1" applyFont="1" applyFill="1" applyBorder="1" applyAlignment="1">
      <alignment horizontal="center"/>
    </xf>
    <xf numFmtId="166" fontId="0" fillId="63" borderId="4" xfId="0" applyNumberFormat="1" applyFill="1" applyBorder="1" applyAlignment="1">
      <alignment horizontal="center"/>
    </xf>
    <xf numFmtId="166" fontId="0" fillId="63" borderId="4" xfId="0" applyNumberFormat="1" applyFill="1" applyBorder="1"/>
    <xf numFmtId="0" fontId="112" fillId="0" borderId="1" xfId="0" applyFont="1" applyBorder="1" applyAlignment="1">
      <alignment horizontal="left"/>
    </xf>
    <xf numFmtId="0" fontId="14" fillId="19" borderId="0" xfId="0" applyFont="1" applyFill="1"/>
    <xf numFmtId="166" fontId="0" fillId="19" borderId="0" xfId="2" applyNumberFormat="1" applyFont="1" applyFill="1"/>
    <xf numFmtId="0" fontId="14" fillId="63" borderId="0" xfId="0" applyFont="1" applyFill="1"/>
    <xf numFmtId="10" fontId="0" fillId="63" borderId="0" xfId="0" applyNumberFormat="1" applyFill="1"/>
    <xf numFmtId="0" fontId="128" fillId="0" borderId="0" xfId="0" applyFont="1" applyAlignment="1">
      <alignment vertical="center"/>
    </xf>
    <xf numFmtId="0" fontId="128" fillId="0" borderId="0" xfId="0" applyFont="1"/>
    <xf numFmtId="43" fontId="0" fillId="19" borderId="0" xfId="0" applyNumberFormat="1" applyFill="1"/>
    <xf numFmtId="0" fontId="14" fillId="0" borderId="54" xfId="0" applyFont="1" applyBorder="1"/>
    <xf numFmtId="0" fontId="0" fillId="0" borderId="54" xfId="0" applyBorder="1"/>
    <xf numFmtId="0" fontId="0" fillId="0" borderId="54" xfId="0" applyBorder="1" applyAlignment="1">
      <alignment horizontal="center"/>
    </xf>
    <xf numFmtId="10" fontId="0" fillId="0" borderId="54" xfId="2" applyNumberFormat="1" applyFont="1" applyBorder="1" applyAlignment="1">
      <alignment horizontal="center"/>
    </xf>
    <xf numFmtId="10" fontId="0" fillId="0" borderId="0" xfId="2" applyNumberFormat="1" applyFont="1" applyFill="1" applyAlignment="1">
      <alignment horizontal="center"/>
    </xf>
    <xf numFmtId="0" fontId="14" fillId="0" borderId="54" xfId="0" applyFont="1" applyBorder="1" applyAlignment="1">
      <alignment horizontal="center"/>
    </xf>
    <xf numFmtId="0" fontId="14" fillId="0" borderId="54" xfId="0" applyFont="1" applyBorder="1" applyAlignment="1">
      <alignment horizontal="center" wrapText="1"/>
    </xf>
    <xf numFmtId="0" fontId="119" fillId="0" borderId="0" xfId="0" applyFont="1"/>
    <xf numFmtId="175" fontId="0" fillId="0" borderId="8" xfId="2" applyNumberFormat="1" applyFont="1" applyBorder="1"/>
    <xf numFmtId="175" fontId="0" fillId="0" borderId="7" xfId="2" applyNumberFormat="1" applyFont="1" applyFill="1" applyBorder="1"/>
    <xf numFmtId="0" fontId="129" fillId="0" borderId="0" xfId="0" applyFont="1" applyFill="1"/>
    <xf numFmtId="2" fontId="129" fillId="0" borderId="0" xfId="0" applyNumberFormat="1" applyFont="1" applyFill="1"/>
    <xf numFmtId="10" fontId="129" fillId="0" borderId="0" xfId="0" applyNumberFormat="1" applyFont="1" applyFill="1"/>
    <xf numFmtId="0" fontId="129" fillId="0" borderId="0" xfId="0" applyFont="1" applyFill="1" applyBorder="1" applyAlignment="1">
      <alignment horizontal="center"/>
    </xf>
    <xf numFmtId="10" fontId="129" fillId="0" borderId="0" xfId="2" applyNumberFormat="1" applyFont="1" applyFill="1"/>
    <xf numFmtId="2" fontId="129" fillId="0" borderId="0" xfId="0" applyNumberFormat="1" applyFont="1" applyFill="1" applyAlignment="1">
      <alignment wrapText="1"/>
    </xf>
    <xf numFmtId="2" fontId="129" fillId="0" borderId="0" xfId="0" applyNumberFormat="1" applyFont="1" applyFill="1" applyAlignment="1">
      <alignment horizontal="center"/>
    </xf>
    <xf numFmtId="164" fontId="129" fillId="0" borderId="0" xfId="0" applyNumberFormat="1" applyFont="1" applyFill="1"/>
    <xf numFmtId="166" fontId="129" fillId="0" borderId="0" xfId="2" applyNumberFormat="1" applyFont="1" applyFill="1"/>
    <xf numFmtId="0" fontId="129" fillId="0" borderId="0" xfId="0" applyFont="1" applyFill="1" applyAlignment="1">
      <alignment horizontal="center"/>
    </xf>
    <xf numFmtId="2" fontId="129" fillId="0" borderId="0" xfId="0" applyNumberFormat="1" applyFont="1" applyFill="1" applyBorder="1" applyAlignment="1">
      <alignment horizontal="center"/>
    </xf>
    <xf numFmtId="168" fontId="129" fillId="0" borderId="0" xfId="1" applyNumberFormat="1" applyFont="1" applyFill="1" applyAlignment="1">
      <alignment horizontal="center"/>
    </xf>
    <xf numFmtId="43" fontId="129" fillId="0" borderId="0" xfId="1" applyFont="1" applyFill="1" applyAlignment="1">
      <alignment horizontal="center"/>
    </xf>
    <xf numFmtId="2" fontId="129" fillId="0" borderId="0" xfId="0" applyNumberFormat="1" applyFont="1" applyFill="1" applyBorder="1"/>
    <xf numFmtId="0" fontId="129" fillId="0" borderId="0" xfId="0" applyFont="1" applyFill="1" applyBorder="1"/>
    <xf numFmtId="0" fontId="129" fillId="0" borderId="0" xfId="0" applyFont="1" applyFill="1" applyBorder="1" applyAlignment="1">
      <alignment horizontal="center"/>
    </xf>
    <xf numFmtId="2" fontId="129" fillId="0" borderId="0" xfId="0" applyNumberFormat="1" applyFont="1" applyFill="1" applyBorder="1" applyAlignment="1">
      <alignment horizontal="center"/>
    </xf>
    <xf numFmtId="0" fontId="14" fillId="0" borderId="31" xfId="0" applyFont="1" applyBorder="1" applyAlignment="1">
      <alignment horizontal="center" wrapText="1"/>
    </xf>
    <xf numFmtId="0" fontId="14" fillId="0" borderId="30" xfId="0" applyFont="1" applyBorder="1" applyAlignment="1">
      <alignment horizontal="center" wrapText="1"/>
    </xf>
    <xf numFmtId="43" fontId="0" fillId="0" borderId="0" xfId="1" applyNumberFormat="1" applyFont="1"/>
    <xf numFmtId="43" fontId="112" fillId="60" borderId="20" xfId="1" applyFont="1" applyFill="1" applyBorder="1"/>
    <xf numFmtId="43" fontId="96" fillId="0" borderId="0" xfId="0" applyNumberFormat="1" applyFont="1" applyFill="1"/>
    <xf numFmtId="43" fontId="116" fillId="60" borderId="20" xfId="0" applyNumberFormat="1" applyFont="1" applyFill="1" applyBorder="1"/>
    <xf numFmtId="43" fontId="14" fillId="0" borderId="0" xfId="0" applyNumberFormat="1" applyFont="1" applyFill="1"/>
    <xf numFmtId="43" fontId="0" fillId="0" borderId="0" xfId="1" applyFont="1" applyFill="1"/>
    <xf numFmtId="43" fontId="0" fillId="0" borderId="12" xfId="1" applyFont="1" applyFill="1" applyBorder="1"/>
    <xf numFmtId="164" fontId="0" fillId="19" borderId="0" xfId="1" applyNumberFormat="1" applyFont="1" applyFill="1"/>
    <xf numFmtId="43" fontId="112" fillId="19" borderId="20" xfId="1" applyNumberFormat="1" applyFont="1" applyFill="1" applyBorder="1"/>
    <xf numFmtId="43" fontId="0" fillId="19" borderId="0" xfId="1" applyNumberFormat="1" applyFont="1" applyFill="1"/>
    <xf numFmtId="172" fontId="112" fillId="60" borderId="20" xfId="1" applyNumberFormat="1" applyFont="1" applyFill="1" applyBorder="1"/>
    <xf numFmtId="172" fontId="0" fillId="0" borderId="0" xfId="1" applyNumberFormat="1" applyFont="1" applyFill="1"/>
    <xf numFmtId="172" fontId="0" fillId="0" borderId="12" xfId="1" applyNumberFormat="1" applyFont="1" applyFill="1" applyBorder="1"/>
    <xf numFmtId="43" fontId="112" fillId="0" borderId="20" xfId="1" applyNumberFormat="1" applyFont="1" applyFill="1" applyBorder="1"/>
    <xf numFmtId="0" fontId="14" fillId="14" borderId="0" xfId="0" applyFont="1" applyFill="1" applyAlignment="1">
      <alignment horizontal="center" wrapText="1"/>
    </xf>
    <xf numFmtId="10" fontId="0" fillId="14" borderId="0" xfId="2" applyNumberFormat="1" applyFont="1" applyFill="1" applyAlignment="1">
      <alignment horizontal="center"/>
    </xf>
    <xf numFmtId="10" fontId="0" fillId="14" borderId="0" xfId="2" applyNumberFormat="1" applyFont="1" applyFill="1" applyBorder="1" applyAlignment="1">
      <alignment horizontal="center"/>
    </xf>
    <xf numFmtId="0" fontId="0" fillId="14" borderId="0" xfId="0" applyFill="1" applyBorder="1"/>
    <xf numFmtId="0" fontId="0" fillId="14" borderId="0" xfId="0" applyFill="1" applyAlignment="1">
      <alignment horizontal="center"/>
    </xf>
    <xf numFmtId="0" fontId="14" fillId="14" borderId="0" xfId="0" applyFont="1" applyFill="1" applyAlignment="1">
      <alignment horizontal="center"/>
    </xf>
    <xf numFmtId="166" fontId="0" fillId="14" borderId="0" xfId="2" applyNumberFormat="1" applyFont="1" applyFill="1" applyAlignment="1">
      <alignment horizontal="center"/>
    </xf>
    <xf numFmtId="10" fontId="0" fillId="14" borderId="0" xfId="0" applyNumberFormat="1" applyFill="1" applyAlignment="1">
      <alignment horizontal="center"/>
    </xf>
    <xf numFmtId="37" fontId="0" fillId="0" borderId="0" xfId="0" applyNumberFormat="1"/>
    <xf numFmtId="0" fontId="14" fillId="0" borderId="0" xfId="0" applyFont="1" applyAlignment="1">
      <alignment horizontal="center"/>
    </xf>
    <xf numFmtId="0" fontId="119" fillId="0" borderId="0" xfId="0" applyFont="1" applyAlignment="1">
      <alignment horizontal="center"/>
    </xf>
    <xf numFmtId="0" fontId="123" fillId="0" borderId="0" xfId="0" applyFont="1" applyAlignment="1">
      <alignment horizontal="center"/>
    </xf>
    <xf numFmtId="0" fontId="113" fillId="0" borderId="12" xfId="0" applyFont="1" applyBorder="1" applyAlignment="1">
      <alignment horizontal="center"/>
    </xf>
    <xf numFmtId="0" fontId="128" fillId="0" borderId="0" xfId="0" applyFont="1" applyAlignment="1">
      <alignment horizontal="center"/>
    </xf>
    <xf numFmtId="0" fontId="129" fillId="0" borderId="0" xfId="0" applyFont="1" applyFill="1" applyBorder="1" applyAlignment="1">
      <alignment horizontal="center"/>
    </xf>
    <xf numFmtId="2" fontId="129" fillId="0" borderId="0" xfId="0" applyNumberFormat="1" applyFont="1" applyFill="1" applyBorder="1" applyAlignment="1">
      <alignment horizontal="center"/>
    </xf>
    <xf numFmtId="0" fontId="128" fillId="0" borderId="7" xfId="0" applyFont="1" applyBorder="1" applyAlignment="1">
      <alignment horizontal="center"/>
    </xf>
    <xf numFmtId="2" fontId="129" fillId="0" borderId="12" xfId="0" applyNumberFormat="1" applyFont="1" applyFill="1" applyBorder="1" applyAlignment="1">
      <alignment horizontal="center"/>
    </xf>
    <xf numFmtId="0" fontId="20" fillId="0" borderId="0" xfId="0" applyFont="1" applyAlignment="1">
      <alignment horizontal="center"/>
    </xf>
    <xf numFmtId="0" fontId="121" fillId="0" borderId="0" xfId="0" applyFont="1" applyAlignment="1">
      <alignment horizontal="center"/>
    </xf>
    <xf numFmtId="0" fontId="14" fillId="0" borderId="12" xfId="0" applyFont="1" applyBorder="1" applyAlignment="1">
      <alignment horizontal="center"/>
    </xf>
    <xf numFmtId="0" fontId="56" fillId="0" borderId="0" xfId="0" applyFont="1" applyAlignment="1">
      <alignment horizontal="center"/>
    </xf>
    <xf numFmtId="0" fontId="14" fillId="59" borderId="12" xfId="0" applyFont="1" applyFill="1" applyBorder="1" applyAlignment="1">
      <alignment horizontal="center"/>
    </xf>
    <xf numFmtId="0" fontId="12" fillId="10" borderId="48" xfId="0" applyFont="1" applyFill="1" applyBorder="1" applyAlignment="1">
      <alignment horizontal="center" vertical="center" wrapText="1"/>
    </xf>
    <xf numFmtId="0" fontId="0" fillId="0" borderId="48" xfId="0" applyBorder="1" applyAlignment="1">
      <alignment horizontal="center" vertical="center" wrapText="1"/>
    </xf>
    <xf numFmtId="169" fontId="62" fillId="13" borderId="0" xfId="4" applyNumberFormat="1" applyFont="1" applyFill="1" applyAlignment="1">
      <alignment horizontal="center"/>
    </xf>
    <xf numFmtId="0" fontId="61" fillId="13" borderId="0" xfId="0" applyFont="1" applyFill="1" applyAlignment="1">
      <alignment horizontal="center"/>
    </xf>
    <xf numFmtId="0" fontId="65" fillId="13" borderId="0" xfId="0" applyFont="1" applyFill="1" applyAlignment="1">
      <alignment horizontal="center"/>
    </xf>
    <xf numFmtId="169" fontId="62" fillId="13" borderId="0" xfId="0" applyNumberFormat="1" applyFont="1" applyFill="1" applyAlignment="1">
      <alignment horizontal="center"/>
    </xf>
    <xf numFmtId="15" fontId="62" fillId="13" borderId="0" xfId="0" applyNumberFormat="1" applyFont="1" applyFill="1" applyAlignment="1">
      <alignment horizontal="center"/>
    </xf>
    <xf numFmtId="0" fontId="62" fillId="13" borderId="0" xfId="0" applyFont="1" applyFill="1" applyAlignment="1">
      <alignment horizontal="center"/>
    </xf>
    <xf numFmtId="0" fontId="47" fillId="16" borderId="21" xfId="0" applyFont="1" applyFill="1" applyBorder="1" applyAlignment="1">
      <alignment horizontal="center" vertical="top" wrapText="1"/>
    </xf>
    <xf numFmtId="0" fontId="47" fillId="16" borderId="22" xfId="0" applyFont="1" applyFill="1" applyBorder="1" applyAlignment="1">
      <alignment horizontal="center" vertical="top" wrapText="1"/>
    </xf>
    <xf numFmtId="0" fontId="47" fillId="16" borderId="23" xfId="0" applyFont="1" applyFill="1" applyBorder="1" applyAlignment="1">
      <alignment horizontal="center" vertical="top" wrapText="1"/>
    </xf>
    <xf numFmtId="0" fontId="13" fillId="14" borderId="0" xfId="0" applyFont="1" applyFill="1" applyAlignment="1">
      <alignment horizontal="center"/>
    </xf>
    <xf numFmtId="0" fontId="91" fillId="0" borderId="0" xfId="57" applyFont="1" applyFill="1" applyAlignment="1">
      <alignment horizontal="left"/>
    </xf>
    <xf numFmtId="0" fontId="90" fillId="0" borderId="0" xfId="57" applyFill="1" applyAlignment="1"/>
    <xf numFmtId="0" fontId="36" fillId="0" borderId="11" xfId="0" applyFont="1" applyFill="1" applyBorder="1" applyAlignment="1">
      <alignment horizontal="center" wrapText="1"/>
    </xf>
    <xf numFmtId="0" fontId="0" fillId="0" borderId="14" xfId="0" applyFill="1" applyBorder="1" applyAlignment="1"/>
    <xf numFmtId="0" fontId="56" fillId="0" borderId="0" xfId="8" applyFont="1" applyFill="1" applyAlignment="1"/>
    <xf numFmtId="0" fontId="14" fillId="0" borderId="0" xfId="8" applyFill="1" applyAlignment="1"/>
    <xf numFmtId="0" fontId="57" fillId="0" borderId="0" xfId="8" applyFont="1" applyFill="1" applyAlignment="1"/>
    <xf numFmtId="10" fontId="0" fillId="0" borderId="0" xfId="0" applyNumberFormat="1" applyFill="1" applyAlignment="1">
      <alignment horizontal="center"/>
    </xf>
    <xf numFmtId="0" fontId="113" fillId="60" borderId="0" xfId="0" applyFont="1" applyFill="1" applyAlignment="1">
      <alignment horizontal="center"/>
    </xf>
    <xf numFmtId="0" fontId="77" fillId="60" borderId="0" xfId="0" applyFont="1" applyFill="1" applyAlignment="1">
      <alignment horizontal="center"/>
    </xf>
    <xf numFmtId="0" fontId="77" fillId="60" borderId="0" xfId="0" applyFont="1" applyFill="1"/>
    <xf numFmtId="37" fontId="113" fillId="60" borderId="0" xfId="1" applyNumberFormat="1" applyFont="1" applyFill="1" applyAlignment="1">
      <alignment horizontal="center"/>
    </xf>
    <xf numFmtId="166" fontId="113" fillId="60" borderId="0" xfId="2" applyNumberFormat="1" applyFont="1" applyFill="1" applyAlignment="1">
      <alignment horizontal="center"/>
    </xf>
    <xf numFmtId="10" fontId="113" fillId="60" borderId="0" xfId="2" applyNumberFormat="1" applyFont="1" applyFill="1"/>
    <xf numFmtId="164" fontId="115" fillId="60" borderId="0" xfId="1" applyNumberFormat="1" applyFont="1" applyFill="1"/>
    <xf numFmtId="10" fontId="115" fillId="60" borderId="0" xfId="2" applyNumberFormat="1" applyFont="1" applyFill="1" applyAlignment="1">
      <alignment horizontal="center"/>
    </xf>
    <xf numFmtId="0" fontId="113" fillId="60" borderId="0" xfId="0" applyFont="1" applyFill="1"/>
    <xf numFmtId="0" fontId="0" fillId="60" borderId="0" xfId="0" applyFill="1"/>
    <xf numFmtId="10" fontId="0" fillId="60" borderId="0" xfId="0" quotePrefix="1" applyNumberFormat="1" applyFill="1" applyAlignment="1">
      <alignment horizontal="center"/>
    </xf>
  </cellXfs>
  <cellStyles count="94">
    <cellStyle name="20% - Accent1" xfId="29" builtinId="30" customBuiltin="1"/>
    <cellStyle name="20% - Accent1 2" xfId="59"/>
    <cellStyle name="20% - Accent2" xfId="33" builtinId="34" customBuiltin="1"/>
    <cellStyle name="20% - Accent2 2" xfId="61"/>
    <cellStyle name="20% - Accent3" xfId="37" builtinId="38" customBuiltin="1"/>
    <cellStyle name="20% - Accent3 2" xfId="63"/>
    <cellStyle name="20% - Accent4" xfId="41" builtinId="42" customBuiltin="1"/>
    <cellStyle name="20% - Accent4 2" xfId="65"/>
    <cellStyle name="20% - Accent5" xfId="45" builtinId="46" customBuiltin="1"/>
    <cellStyle name="20% - Accent5 2" xfId="67"/>
    <cellStyle name="20% - Accent6" xfId="49" builtinId="50" customBuiltin="1"/>
    <cellStyle name="20% - Accent6 2" xfId="69"/>
    <cellStyle name="40% - Accent1" xfId="30" builtinId="31" customBuiltin="1"/>
    <cellStyle name="40% - Accent1 2" xfId="60"/>
    <cellStyle name="40% - Accent2" xfId="34" builtinId="35" customBuiltin="1"/>
    <cellStyle name="40% - Accent2 2" xfId="62"/>
    <cellStyle name="40% - Accent3" xfId="38" builtinId="39" customBuiltin="1"/>
    <cellStyle name="40% - Accent3 2" xfId="64"/>
    <cellStyle name="40% - Accent4" xfId="42" builtinId="43" customBuiltin="1"/>
    <cellStyle name="40% - Accent4 2" xfId="66"/>
    <cellStyle name="40% - Accent5" xfId="46" builtinId="47" customBuiltin="1"/>
    <cellStyle name="40% - Accent5 2" xfId="68"/>
    <cellStyle name="40% - Accent6" xfId="50" builtinId="51" customBuiltin="1"/>
    <cellStyle name="40% - Accent6 2" xfId="70"/>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2" xfId="5"/>
    <cellStyle name="Comma 2 2" xfId="75"/>
    <cellStyle name="Comma 3" xfId="11"/>
    <cellStyle name="Comma 4" xfId="53"/>
    <cellStyle name="Comma 4 2" xfId="79"/>
    <cellStyle name="Comma 5" xfId="72"/>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3" builtinId="8"/>
    <cellStyle name="Hyperlink 2" xfId="7"/>
    <cellStyle name="Input" xfId="20" builtinId="20" customBuiltin="1"/>
    <cellStyle name="Linked Cell" xfId="23" builtinId="24" customBuiltin="1"/>
    <cellStyle name="Neutral" xfId="19" builtinId="28" customBuiltin="1"/>
    <cellStyle name="Normal" xfId="0" builtinId="0"/>
    <cellStyle name="Normal 10" xfId="84"/>
    <cellStyle name="Normal 11" xfId="86"/>
    <cellStyle name="Normal 11 2" xfId="91"/>
    <cellStyle name="Normal 11 3" xfId="92"/>
    <cellStyle name="Normal 11 3 2" xfId="93"/>
    <cellStyle name="Normal 12" xfId="89"/>
    <cellStyle name="Normal 13" xfId="90"/>
    <cellStyle name="Normal 2" xfId="4"/>
    <cellStyle name="Normal 2 2" xfId="55"/>
    <cellStyle name="Normal 2 2 2" xfId="81"/>
    <cellStyle name="Normal 2 3" xfId="74"/>
    <cellStyle name="Normal 23" xfId="88"/>
    <cellStyle name="Normal 24" xfId="87"/>
    <cellStyle name="Normal 3" xfId="8"/>
    <cellStyle name="Normal 4" xfId="9"/>
    <cellStyle name="Normal 5" xfId="52"/>
    <cellStyle name="Normal 5 2" xfId="78"/>
    <cellStyle name="Normal 5 3" xfId="83"/>
    <cellStyle name="Normal 6" xfId="56"/>
    <cellStyle name="Normal 6 2" xfId="82"/>
    <cellStyle name="Normal 7" xfId="57"/>
    <cellStyle name="Normal 8" xfId="71"/>
    <cellStyle name="Normal 9" xfId="58"/>
    <cellStyle name="Note 2" xfId="54"/>
    <cellStyle name="Note 2 2" xfId="80"/>
    <cellStyle name="Output" xfId="21" builtinId="21" customBuiltin="1"/>
    <cellStyle name="Percent" xfId="2" builtinId="5"/>
    <cellStyle name="Percent 2" xfId="6"/>
    <cellStyle name="Percent 2 2" xfId="76"/>
    <cellStyle name="Percent 3" xfId="10"/>
    <cellStyle name="Percent 3 2" xfId="77"/>
    <cellStyle name="Percent 4" xfId="73"/>
    <cellStyle name="Percent 5" xfId="85"/>
    <cellStyle name="Title" xfId="12" builtinId="15" customBuiltin="1"/>
    <cellStyle name="Total" xfId="27" builtinId="25" customBuiltin="1"/>
    <cellStyle name="Warning Text" xfId="25" builtinId="11" customBuiltin="1"/>
  </cellStyles>
  <dxfs count="0"/>
  <tableStyles count="0" defaultTableStyle="TableStyleMedium2" defaultPivotStyle="PivotStyleLight16"/>
  <colors>
    <mruColors>
      <color rgb="FFFFFFCC"/>
      <color rgb="FFFF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2100A.E4AFCE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304800</xdr:colOff>
      <xdr:row>4</xdr:row>
      <xdr:rowOff>142875</xdr:rowOff>
    </xdr:to>
    <xdr:pic>
      <xdr:nvPicPr>
        <xdr:cNvPr id="2" name="Rectangle 55" descr="http://archive.org/search.php?query=collection%3A%22toronto%22+AND+%28ontario+hydro+yearbook+AND+collection%3Atoronto%29&amp;sort=date">
          <a:extLst>
            <a:ext uri="{FF2B5EF4-FFF2-40B4-BE49-F238E27FC236}">
              <a16:creationId xmlns:a16="http://schemas.microsoft.com/office/drawing/2014/main" id="{292F51AB-BBC1-4EF1-80CA-4CDA27E3CA1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192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561975</xdr:colOff>
      <xdr:row>23</xdr:row>
      <xdr:rowOff>0</xdr:rowOff>
    </xdr:from>
    <xdr:to>
      <xdr:col>15</xdr:col>
      <xdr:colOff>456530</xdr:colOff>
      <xdr:row>38</xdr:row>
      <xdr:rowOff>28254</xdr:rowOff>
    </xdr:to>
    <xdr:pic>
      <xdr:nvPicPr>
        <xdr:cNvPr id="3" name="Picture 2">
          <a:extLst>
            <a:ext uri="{FF2B5EF4-FFF2-40B4-BE49-F238E27FC236}">
              <a16:creationId xmlns:a16="http://schemas.microsoft.com/office/drawing/2014/main" id="{6B941082-574A-4874-AFC1-B6B29A357421}"/>
            </a:ext>
          </a:extLst>
        </xdr:cNvPr>
        <xdr:cNvPicPr>
          <a:picLocks noChangeAspect="1"/>
        </xdr:cNvPicPr>
      </xdr:nvPicPr>
      <xdr:blipFill>
        <a:blip xmlns:r="http://schemas.openxmlformats.org/officeDocument/2006/relationships" r:embed="rId3"/>
        <a:stretch>
          <a:fillRect/>
        </a:stretch>
      </xdr:blipFill>
      <xdr:spPr>
        <a:xfrm>
          <a:off x="6962775" y="3914775"/>
          <a:ext cx="5209505" cy="2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13</xdr:row>
      <xdr:rowOff>57150</xdr:rowOff>
    </xdr:from>
    <xdr:to>
      <xdr:col>7</xdr:col>
      <xdr:colOff>80102</xdr:colOff>
      <xdr:row>18</xdr:row>
      <xdr:rowOff>81684</xdr:rowOff>
    </xdr:to>
    <xdr:pic>
      <xdr:nvPicPr>
        <xdr:cNvPr id="2" name="Picture 1" descr="LEI Logo.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29000" y="2676525"/>
          <a:ext cx="651602" cy="929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66675</xdr:rowOff>
    </xdr:from>
    <xdr:to>
      <xdr:col>0</xdr:col>
      <xdr:colOff>171450</xdr:colOff>
      <xdr:row>3</xdr:row>
      <xdr:rowOff>123825</xdr:rowOff>
    </xdr:to>
    <xdr:sp macro="" textlink="">
      <xdr:nvSpPr>
        <xdr:cNvPr id="2" name="Down Arrow 1">
          <a:extLst>
            <a:ext uri="{FF2B5EF4-FFF2-40B4-BE49-F238E27FC236}">
              <a16:creationId xmlns:a16="http://schemas.microsoft.com/office/drawing/2014/main" id="{00000000-0008-0000-0A00-000002000000}"/>
            </a:ext>
          </a:extLst>
        </xdr:cNvPr>
        <xdr:cNvSpPr/>
      </xdr:nvSpPr>
      <xdr:spPr>
        <a:xfrm>
          <a:off x="47625" y="266700"/>
          <a:ext cx="123825" cy="41910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ave%20Hovde/AppData/Roaming/Microsoft/Excel/IRM4dat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Documents%20and%20Settings/Diana%20Crapp/Local%20Settings/Temporary%20Internet%20Files/OLK22/Table%202006%20Update%20-%20Source%20of%20WKA,%20WOM%20ser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OEB%20database%20v7%20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Dave%20Hovde/AppData/Roaming/Microsoft/Excel/API_InfoREQ_20130304.xlsx.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Dave%20Hovde/AppData/Roaming/Microsoft/Excel/Bluewater_EB-2010-0379%20Data%20Request%20_20130301.xls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ocuments%20and%20Settings/Larry/Local%20Settings/Temporary%20Internet%20Files/Content.Outlook/RH3D8H8W/BM%20Database%20Calculations%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Dave%20Hovde/Documents/PEG%20Office/Dave/E/oeb12/Data/OEB%20database%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Retirements 25"/>
      <sheetName val="Retirements 40"/>
      <sheetName val="Sheet3"/>
      <sheetName val="Productivity"/>
      <sheetName val="Output Quantity"/>
      <sheetName val="Input Quantity"/>
      <sheetName val="OMA"/>
      <sheetName val="Capital"/>
      <sheetName val="cost screen"/>
      <sheetName val="Definition of Terms"/>
      <sheetName val="Cost per Customer"/>
      <sheetName val="Sheet2"/>
      <sheetName val="2011 data "/>
      <sheetName val="2010 data"/>
      <sheetName val="2009 data"/>
      <sheetName val="2008 data"/>
      <sheetName val="2007 data"/>
      <sheetName val="2006 data"/>
      <sheetName val="2005 data"/>
      <sheetName val="2004 data"/>
      <sheetName val="2003 data"/>
      <sheetName val="2002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CI EGS"/>
      <sheetName val="cpi06"/>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PPI"/>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1" refreshError="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data"/>
      <sheetName val="2001 data"/>
      <sheetName val="2002 data"/>
      <sheetName val="2003 data"/>
      <sheetName val="2004 data"/>
      <sheetName val="2005 data"/>
      <sheetName val="2006 data"/>
      <sheetName val="2007 data"/>
      <sheetName val="2008 data"/>
      <sheetName val="2009 data"/>
      <sheetName val="2010 data"/>
      <sheetName val="2011 data "/>
      <sheetName val="PEG_ Gross Plant"/>
      <sheetName val="Lists"/>
      <sheetName val="Review 1"/>
      <sheetName val="summary8902"/>
      <sheetName val="summary02 (scratch)"/>
      <sheetName val="panel"/>
      <sheetName val="Retirements 40"/>
      <sheetName val="TWA40 0211"/>
      <sheetName val="TWA40 02"/>
      <sheetName val="TWA40 89"/>
      <sheetName val="plant8911"/>
      <sheetName val="data0211"/>
      <sheetName val="PEG_Accumulated Amortization"/>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1" refreshError="1">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 refreshError="1">
        <row r="1">
          <cell r="A1" t="str">
            <v>Distributor Data for Year ended Dec 31st, 2002</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128247378.09</v>
          </cell>
          <cell r="AE4">
            <v>5210414.88</v>
          </cell>
          <cell r="AF4">
            <v>18341073.300000001</v>
          </cell>
          <cell r="AG4">
            <v>92136149.489999995</v>
          </cell>
          <cell r="AH4">
            <v>90788012.999999985</v>
          </cell>
          <cell r="AI4">
            <v>1348136.49</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4644618000</v>
          </cell>
          <cell r="AU4">
            <v>2389838.62</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200285577</v>
          </cell>
          <cell r="CO4">
            <v>3897204.44</v>
          </cell>
          <cell r="CP4">
            <v>12432684.479999999</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-63888789.700000003</v>
          </cell>
          <cell r="AE5">
            <v>-3073611.64</v>
          </cell>
          <cell r="AF5">
            <v>-7253937.5700000003</v>
          </cell>
          <cell r="AG5">
            <v>-10879939.520000001</v>
          </cell>
          <cell r="AH5">
            <v>-10685833.970000001</v>
          </cell>
          <cell r="AI5">
            <v>-194105.55</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-1787747000</v>
          </cell>
          <cell r="AU5">
            <v>-1002833.55</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-84849796</v>
          </cell>
          <cell r="CO5">
            <v>-1995548.25</v>
          </cell>
          <cell r="CP5">
            <v>-3920291.4</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Plant Additions</v>
          </cell>
          <cell r="B6" t="str">
            <v>PADD</v>
          </cell>
          <cell r="C6">
            <v>2002</v>
          </cell>
          <cell r="D6">
            <v>101324</v>
          </cell>
          <cell r="E6">
            <v>11780010</v>
          </cell>
          <cell r="F6">
            <v>2573778</v>
          </cell>
          <cell r="G6">
            <v>973769.74</v>
          </cell>
          <cell r="H6">
            <v>2484370</v>
          </cell>
          <cell r="I6">
            <v>4257060.33</v>
          </cell>
          <cell r="J6">
            <v>15814852</v>
          </cell>
          <cell r="K6">
            <v>596695.59</v>
          </cell>
          <cell r="L6">
            <v>1702</v>
          </cell>
          <cell r="M6">
            <v>3134430</v>
          </cell>
          <cell r="N6">
            <v>25192</v>
          </cell>
          <cell r="O6">
            <v>637632.23</v>
          </cell>
          <cell r="P6">
            <v>159051</v>
          </cell>
          <cell r="Q6">
            <v>6920</v>
          </cell>
          <cell r="R6">
            <v>467078.64</v>
          </cell>
          <cell r="S6">
            <v>40305532</v>
          </cell>
          <cell r="T6">
            <v>17134598</v>
          </cell>
          <cell r="U6">
            <v>1418047.2</v>
          </cell>
          <cell r="V6">
            <v>211818</v>
          </cell>
          <cell r="W6">
            <v>1294943.07</v>
          </cell>
          <cell r="X6">
            <v>2518786.13</v>
          </cell>
          <cell r="Y6">
            <v>4296122.4400000004</v>
          </cell>
          <cell r="Z6">
            <v>87334.399999999994</v>
          </cell>
          <cell r="AA6" t="str">
            <v>0.00</v>
          </cell>
          <cell r="AB6" t="str">
            <v>0.00</v>
          </cell>
          <cell r="AC6">
            <v>4588505.3600000003</v>
          </cell>
          <cell r="AD6">
            <v>4588505.3600000003</v>
          </cell>
          <cell r="AE6" t="str">
            <v>0.00</v>
          </cell>
          <cell r="AF6">
            <v>952778.5</v>
          </cell>
          <cell r="AG6">
            <v>6779151</v>
          </cell>
          <cell r="AH6">
            <v>6759151</v>
          </cell>
          <cell r="AI6">
            <v>20000</v>
          </cell>
          <cell r="AJ6">
            <v>586071.74</v>
          </cell>
          <cell r="AK6">
            <v>2228019</v>
          </cell>
          <cell r="AL6">
            <v>135450.07</v>
          </cell>
          <cell r="AM6">
            <v>23503157.240000002</v>
          </cell>
          <cell r="AN6">
            <v>17594576</v>
          </cell>
          <cell r="AO6">
            <v>5908581.2400000002</v>
          </cell>
          <cell r="AP6">
            <v>122707.49</v>
          </cell>
          <cell r="AQ6">
            <v>23636.25</v>
          </cell>
          <cell r="AR6">
            <v>18344338</v>
          </cell>
          <cell r="AS6">
            <v>268093253.31</v>
          </cell>
          <cell r="AT6">
            <v>268000000</v>
          </cell>
          <cell r="AU6">
            <v>93253.31</v>
          </cell>
          <cell r="AV6">
            <v>31500913</v>
          </cell>
          <cell r="AW6">
            <v>831533.95</v>
          </cell>
          <cell r="AX6">
            <v>331580</v>
          </cell>
          <cell r="AY6">
            <v>3628553.13</v>
          </cell>
          <cell r="AZ6">
            <v>12325157</v>
          </cell>
          <cell r="BA6">
            <v>262133</v>
          </cell>
          <cell r="BB6">
            <v>1502046.92</v>
          </cell>
          <cell r="BC6">
            <v>19046343</v>
          </cell>
          <cell r="BD6">
            <v>273591</v>
          </cell>
          <cell r="BE6">
            <v>291411.56</v>
          </cell>
          <cell r="BF6">
            <v>4810757</v>
          </cell>
          <cell r="BG6">
            <v>1942999.39</v>
          </cell>
          <cell r="BH6">
            <v>1793159.46</v>
          </cell>
          <cell r="BI6">
            <v>149839.93</v>
          </cell>
          <cell r="BJ6">
            <v>6791920</v>
          </cell>
          <cell r="BK6">
            <v>4477491</v>
          </cell>
          <cell r="BL6">
            <v>2314429</v>
          </cell>
          <cell r="BM6">
            <v>1652856.35</v>
          </cell>
          <cell r="BN6">
            <v>5917050</v>
          </cell>
          <cell r="BO6">
            <v>1835771</v>
          </cell>
          <cell r="BP6">
            <v>55726.3</v>
          </cell>
          <cell r="BQ6">
            <v>8530376</v>
          </cell>
          <cell r="BR6">
            <v>942854.81</v>
          </cell>
          <cell r="BS6">
            <v>974127</v>
          </cell>
          <cell r="BT6">
            <v>4029764.02</v>
          </cell>
          <cell r="BU6">
            <v>642931.51</v>
          </cell>
          <cell r="BV6">
            <v>191526.27</v>
          </cell>
          <cell r="BW6">
            <v>2698415</v>
          </cell>
          <cell r="BX6">
            <v>2419543</v>
          </cell>
          <cell r="BY6">
            <v>241415</v>
          </cell>
          <cell r="BZ6">
            <v>37457</v>
          </cell>
          <cell r="CA6">
            <v>360687.5</v>
          </cell>
          <cell r="CB6">
            <v>33509945.039999999</v>
          </cell>
          <cell r="CC6">
            <v>32018576</v>
          </cell>
          <cell r="CD6">
            <v>1491369.04</v>
          </cell>
          <cell r="CE6">
            <v>2228519</v>
          </cell>
          <cell r="CF6">
            <v>508993</v>
          </cell>
          <cell r="CG6">
            <v>233282</v>
          </cell>
          <cell r="CH6">
            <v>422550.42</v>
          </cell>
          <cell r="CI6">
            <v>2211503.5299999998</v>
          </cell>
          <cell r="CJ6">
            <v>6793028</v>
          </cell>
          <cell r="CK6">
            <v>425329</v>
          </cell>
          <cell r="CL6">
            <v>166919710</v>
          </cell>
          <cell r="CM6">
            <v>9409207.870000001</v>
          </cell>
          <cell r="CN6">
            <v>8196563</v>
          </cell>
          <cell r="CO6">
            <v>91712</v>
          </cell>
          <cell r="CP6">
            <v>1120932.8700000001</v>
          </cell>
          <cell r="CQ6">
            <v>505052</v>
          </cell>
          <cell r="CR6">
            <v>10844093</v>
          </cell>
          <cell r="CS6">
            <v>1242403</v>
          </cell>
          <cell r="CT6">
            <v>168808.79</v>
          </cell>
          <cell r="CU6" t="str">
            <v>0.00</v>
          </cell>
          <cell r="CV6" t="str">
            <v>0.00</v>
          </cell>
          <cell r="CW6">
            <v>1111288</v>
          </cell>
          <cell r="CX6">
            <v>3074375</v>
          </cell>
          <cell r="CY6">
            <v>1462953.82</v>
          </cell>
        </row>
        <row r="7">
          <cell r="A7" t="str">
            <v>OM&amp;A Expense</v>
          </cell>
          <cell r="B7" t="str">
            <v>COMA</v>
          </cell>
          <cell r="C7">
            <v>2002</v>
          </cell>
          <cell r="D7">
            <v>627378</v>
          </cell>
          <cell r="E7">
            <v>6995261</v>
          </cell>
          <cell r="F7">
            <v>7982031</v>
          </cell>
          <cell r="G7">
            <v>2552047.48</v>
          </cell>
          <cell r="H7">
            <v>5392481.6299999999</v>
          </cell>
          <cell r="I7">
            <v>9010484.3100000005</v>
          </cell>
          <cell r="J7">
            <v>6811784</v>
          </cell>
          <cell r="K7">
            <v>1513849.8500000003</v>
          </cell>
          <cell r="L7">
            <v>472455.39000000007</v>
          </cell>
          <cell r="M7">
            <v>4833018</v>
          </cell>
          <cell r="N7">
            <v>325066.23</v>
          </cell>
          <cell r="O7">
            <v>2399857.44</v>
          </cell>
          <cell r="P7">
            <v>260912.21</v>
          </cell>
          <cell r="Q7">
            <v>117996.4</v>
          </cell>
          <cell r="R7">
            <v>1725770.0899999999</v>
          </cell>
          <cell r="S7">
            <v>31549841.899999999</v>
          </cell>
          <cell r="T7">
            <v>23992398</v>
          </cell>
          <cell r="U7">
            <v>3082267.32</v>
          </cell>
          <cell r="V7">
            <v>939906.02000000025</v>
          </cell>
          <cell r="W7">
            <v>5412123.7300000004</v>
          </cell>
          <cell r="X7">
            <v>3153317.12</v>
          </cell>
          <cell r="Y7">
            <v>4060685.01</v>
          </cell>
          <cell r="Z7">
            <v>914216.28</v>
          </cell>
          <cell r="AA7">
            <v>159470.93000000002</v>
          </cell>
          <cell r="AB7">
            <v>5416074.7799999993</v>
          </cell>
          <cell r="AC7">
            <v>8696007.8000000007</v>
          </cell>
          <cell r="AD7">
            <v>7959817.5399999991</v>
          </cell>
          <cell r="AE7">
            <v>736190.26</v>
          </cell>
          <cell r="AF7">
            <v>1177143.3800000001</v>
          </cell>
          <cell r="AG7">
            <v>7889931.7700000005</v>
          </cell>
          <cell r="AH7">
            <v>7650318.3700000001</v>
          </cell>
          <cell r="AI7">
            <v>239613.4</v>
          </cell>
          <cell r="AJ7">
            <v>4922430.32</v>
          </cell>
          <cell r="AK7">
            <v>3892053</v>
          </cell>
          <cell r="AL7">
            <v>495817.33</v>
          </cell>
          <cell r="AM7">
            <v>29948878.370000001</v>
          </cell>
          <cell r="AN7">
            <v>22594436.690000001</v>
          </cell>
          <cell r="AO7">
            <v>7354441.6799999997</v>
          </cell>
          <cell r="AP7">
            <v>131482.53</v>
          </cell>
          <cell r="AQ7">
            <v>626792.38</v>
          </cell>
          <cell r="AR7">
            <v>13195671.59</v>
          </cell>
          <cell r="AS7">
            <v>311752504.14000005</v>
          </cell>
          <cell r="AT7">
            <v>311449000</v>
          </cell>
          <cell r="AU7">
            <v>303504.14</v>
          </cell>
          <cell r="AV7">
            <v>45151285.140000001</v>
          </cell>
          <cell r="AW7">
            <v>2276218.2600000002</v>
          </cell>
          <cell r="AX7">
            <v>1195133</v>
          </cell>
          <cell r="AY7">
            <v>5093842.7299999995</v>
          </cell>
          <cell r="AZ7">
            <v>9251297.6099999994</v>
          </cell>
          <cell r="BA7">
            <v>1161887.1200000001</v>
          </cell>
          <cell r="BB7">
            <v>1776498.0499999998</v>
          </cell>
          <cell r="BC7">
            <v>19907861.130000003</v>
          </cell>
          <cell r="BD7">
            <v>1355156.1199999999</v>
          </cell>
          <cell r="BE7">
            <v>1711263.49</v>
          </cell>
          <cell r="BF7">
            <v>3394457.3</v>
          </cell>
          <cell r="BG7">
            <v>5127573.88</v>
          </cell>
          <cell r="BH7">
            <v>4521562.0100000007</v>
          </cell>
          <cell r="BI7">
            <v>606011.87</v>
          </cell>
          <cell r="BJ7">
            <v>10127140.710000001</v>
          </cell>
          <cell r="BK7">
            <v>6688238.709999999</v>
          </cell>
          <cell r="BL7">
            <v>3438902</v>
          </cell>
          <cell r="BM7">
            <v>1307699.6399999997</v>
          </cell>
          <cell r="BN7">
            <v>4102918.6999999997</v>
          </cell>
          <cell r="BO7">
            <v>4836284.43</v>
          </cell>
          <cell r="BP7">
            <v>1848159.8399999999</v>
          </cell>
          <cell r="BQ7">
            <v>8948605.0999999996</v>
          </cell>
          <cell r="BR7">
            <v>1589337.4</v>
          </cell>
          <cell r="BS7">
            <v>2251213.73</v>
          </cell>
          <cell r="BT7">
            <v>8874750.0299999993</v>
          </cell>
          <cell r="BU7">
            <v>1700850.74</v>
          </cell>
          <cell r="BV7">
            <v>712803.57000000007</v>
          </cell>
          <cell r="BW7">
            <v>5179551.09</v>
          </cell>
          <cell r="BX7">
            <v>4633087.21</v>
          </cell>
          <cell r="BY7">
            <v>400114.91</v>
          </cell>
          <cell r="BZ7">
            <v>146348.97000000003</v>
          </cell>
          <cell r="CA7">
            <v>1196228.69</v>
          </cell>
          <cell r="CB7">
            <v>28247676.120000001</v>
          </cell>
          <cell r="CC7">
            <v>25605795.16</v>
          </cell>
          <cell r="CD7">
            <v>2641880.96</v>
          </cell>
          <cell r="CE7">
            <v>5484374.1600000011</v>
          </cell>
          <cell r="CF7">
            <v>749735.20000000007</v>
          </cell>
          <cell r="CG7">
            <v>1100210.21</v>
          </cell>
          <cell r="CH7">
            <v>771004.31</v>
          </cell>
          <cell r="CI7">
            <v>2246650.3899999997</v>
          </cell>
          <cell r="CJ7">
            <v>10187237</v>
          </cell>
          <cell r="CK7">
            <v>1243228.0199999998</v>
          </cell>
          <cell r="CL7">
            <v>130764755.88</v>
          </cell>
          <cell r="CM7">
            <v>18914125.129999999</v>
          </cell>
          <cell r="CN7">
            <v>17002859</v>
          </cell>
          <cell r="CO7">
            <v>494024.19</v>
          </cell>
          <cell r="CP7">
            <v>1417241.9400000002</v>
          </cell>
          <cell r="CQ7">
            <v>1078552.19</v>
          </cell>
          <cell r="CR7">
            <v>8323890.4900000002</v>
          </cell>
          <cell r="CS7">
            <v>3471683.8</v>
          </cell>
          <cell r="CT7">
            <v>787015.35000000009</v>
          </cell>
          <cell r="CU7">
            <v>963562.64</v>
          </cell>
          <cell r="CV7">
            <v>500009.19</v>
          </cell>
          <cell r="CW7">
            <v>3774982</v>
          </cell>
          <cell r="CX7">
            <v>6197524</v>
          </cell>
          <cell r="CY7">
            <v>2557532.96</v>
          </cell>
        </row>
        <row r="8">
          <cell r="A8" t="str">
            <v>Income Taxes</v>
          </cell>
          <cell r="B8" t="str">
            <v>CTAXINC</v>
          </cell>
          <cell r="C8">
            <v>2002</v>
          </cell>
          <cell r="D8">
            <v>0</v>
          </cell>
          <cell r="E8">
            <v>929279</v>
          </cell>
          <cell r="F8">
            <v>987000</v>
          </cell>
          <cell r="G8">
            <v>23788</v>
          </cell>
          <cell r="H8">
            <v>83550</v>
          </cell>
          <cell r="I8">
            <v>1288000</v>
          </cell>
          <cell r="J8">
            <v>-391781</v>
          </cell>
          <cell r="K8">
            <v>47514</v>
          </cell>
          <cell r="L8">
            <v>0</v>
          </cell>
          <cell r="M8">
            <v>309684</v>
          </cell>
          <cell r="N8">
            <v>0</v>
          </cell>
          <cell r="O8">
            <v>59831</v>
          </cell>
          <cell r="P8">
            <v>12786</v>
          </cell>
          <cell r="Q8">
            <v>0</v>
          </cell>
          <cell r="R8">
            <v>0</v>
          </cell>
          <cell r="S8">
            <v>0</v>
          </cell>
          <cell r="T8">
            <v>410852</v>
          </cell>
          <cell r="U8">
            <v>47469.53</v>
          </cell>
          <cell r="V8">
            <v>0</v>
          </cell>
          <cell r="W8">
            <v>270161.03000000003</v>
          </cell>
          <cell r="X8">
            <v>895680</v>
          </cell>
          <cell r="Y8">
            <v>176791.58</v>
          </cell>
          <cell r="Z8">
            <v>634</v>
          </cell>
          <cell r="AA8">
            <v>1548</v>
          </cell>
          <cell r="AB8">
            <v>1557108.22</v>
          </cell>
          <cell r="AC8">
            <v>-303429</v>
          </cell>
          <cell r="AD8">
            <v>-303429</v>
          </cell>
          <cell r="AE8">
            <v>0</v>
          </cell>
          <cell r="AF8">
            <v>166639.24</v>
          </cell>
          <cell r="AG8">
            <v>2173000.33</v>
          </cell>
          <cell r="AH8">
            <v>2113000</v>
          </cell>
          <cell r="AI8">
            <v>60000.33</v>
          </cell>
          <cell r="AJ8">
            <v>110403</v>
          </cell>
          <cell r="AK8">
            <v>305000</v>
          </cell>
          <cell r="AL8">
            <v>6177.05</v>
          </cell>
          <cell r="AM8">
            <v>4471430.5599999996</v>
          </cell>
          <cell r="AN8">
            <v>3097155.56</v>
          </cell>
          <cell r="AO8">
            <v>1374275</v>
          </cell>
          <cell r="AP8">
            <v>45913</v>
          </cell>
          <cell r="AQ8">
            <v>-73248</v>
          </cell>
          <cell r="AR8">
            <v>4891900.3099999996</v>
          </cell>
          <cell r="AS8">
            <v>47292000</v>
          </cell>
          <cell r="AT8">
            <v>47292000</v>
          </cell>
          <cell r="AU8">
            <v>0</v>
          </cell>
          <cell r="AV8">
            <v>0</v>
          </cell>
          <cell r="AW8">
            <v>0</v>
          </cell>
          <cell r="AX8">
            <v>5769</v>
          </cell>
          <cell r="AY8">
            <v>0</v>
          </cell>
          <cell r="AZ8">
            <v>2754900</v>
          </cell>
          <cell r="BA8">
            <v>62702.83</v>
          </cell>
          <cell r="BB8">
            <v>0</v>
          </cell>
          <cell r="BC8">
            <v>3815800</v>
          </cell>
          <cell r="BD8">
            <v>0</v>
          </cell>
          <cell r="BE8">
            <v>21222</v>
          </cell>
          <cell r="BF8">
            <v>344503</v>
          </cell>
          <cell r="BG8">
            <v>306053.44</v>
          </cell>
          <cell r="BH8">
            <v>261053.44</v>
          </cell>
          <cell r="BI8">
            <v>45000</v>
          </cell>
          <cell r="BJ8">
            <v>95998</v>
          </cell>
          <cell r="BK8">
            <v>205998</v>
          </cell>
          <cell r="BL8">
            <v>-110000</v>
          </cell>
          <cell r="BM8">
            <v>104617</v>
          </cell>
          <cell r="BN8">
            <v>190549.53</v>
          </cell>
          <cell r="BO8">
            <v>193629</v>
          </cell>
          <cell r="BP8">
            <v>4567</v>
          </cell>
          <cell r="BQ8">
            <v>-964000</v>
          </cell>
          <cell r="BR8">
            <v>102151.97</v>
          </cell>
          <cell r="BS8">
            <v>773949</v>
          </cell>
          <cell r="BT8">
            <v>0</v>
          </cell>
          <cell r="BU8">
            <v>115897</v>
          </cell>
          <cell r="BV8">
            <v>0</v>
          </cell>
          <cell r="BW8">
            <v>464043.19</v>
          </cell>
          <cell r="BX8">
            <v>448415.86</v>
          </cell>
          <cell r="BY8">
            <v>15487.15</v>
          </cell>
          <cell r="BZ8">
            <v>140.18</v>
          </cell>
          <cell r="CA8">
            <v>7900.83</v>
          </cell>
          <cell r="CB8">
            <v>7691592.71</v>
          </cell>
          <cell r="CC8">
            <v>7691592.71</v>
          </cell>
          <cell r="CD8">
            <v>0</v>
          </cell>
          <cell r="CE8">
            <v>0</v>
          </cell>
          <cell r="CF8">
            <v>22406</v>
          </cell>
          <cell r="CG8">
            <v>2401.2600000000002</v>
          </cell>
          <cell r="CH8">
            <v>1201</v>
          </cell>
          <cell r="CI8">
            <v>428385</v>
          </cell>
          <cell r="CJ8">
            <v>0</v>
          </cell>
          <cell r="CK8">
            <v>0</v>
          </cell>
          <cell r="CL8">
            <v>4352880.47</v>
          </cell>
          <cell r="CM8">
            <v>1220046.06</v>
          </cell>
          <cell r="CN8">
            <v>1154500</v>
          </cell>
          <cell r="CO8">
            <v>0</v>
          </cell>
          <cell r="CP8">
            <v>65546.06</v>
          </cell>
          <cell r="CQ8">
            <v>215038</v>
          </cell>
          <cell r="CR8">
            <v>1304664</v>
          </cell>
          <cell r="CS8">
            <v>0</v>
          </cell>
          <cell r="CT8">
            <v>0</v>
          </cell>
          <cell r="CU8">
            <v>42159</v>
          </cell>
          <cell r="CV8">
            <v>0</v>
          </cell>
          <cell r="CW8">
            <v>952590</v>
          </cell>
          <cell r="CX8">
            <v>291957</v>
          </cell>
          <cell r="CY8">
            <v>631028</v>
          </cell>
        </row>
        <row r="9">
          <cell r="A9" t="str">
            <v>Customers</v>
          </cell>
          <cell r="B9" t="str">
            <v>YN</v>
          </cell>
          <cell r="C9">
            <v>2002</v>
          </cell>
          <cell r="D9">
            <v>1814</v>
          </cell>
          <cell r="E9">
            <v>59220</v>
          </cell>
          <cell r="F9">
            <v>34402</v>
          </cell>
          <cell r="G9">
            <v>8432</v>
          </cell>
          <cell r="H9">
            <v>34375</v>
          </cell>
          <cell r="I9">
            <v>55423</v>
          </cell>
          <cell r="J9">
            <v>44373</v>
          </cell>
          <cell r="K9">
            <v>5662</v>
          </cell>
          <cell r="L9">
            <v>1371</v>
          </cell>
          <cell r="M9">
            <v>31823</v>
          </cell>
          <cell r="N9">
            <v>1611</v>
          </cell>
          <cell r="O9">
            <v>13162</v>
          </cell>
          <cell r="P9">
            <v>1485</v>
          </cell>
          <cell r="Q9">
            <v>557</v>
          </cell>
          <cell r="R9">
            <v>10266</v>
          </cell>
          <cell r="S9">
            <v>166622</v>
          </cell>
          <cell r="T9">
            <v>80733</v>
          </cell>
          <cell r="U9">
            <v>13404</v>
          </cell>
          <cell r="V9">
            <v>3325</v>
          </cell>
          <cell r="W9">
            <v>26285</v>
          </cell>
          <cell r="X9">
            <v>18367</v>
          </cell>
          <cell r="Y9">
            <v>15162</v>
          </cell>
          <cell r="Z9">
            <v>3818</v>
          </cell>
          <cell r="AA9">
            <v>672</v>
          </cell>
          <cell r="AB9">
            <v>11372</v>
          </cell>
          <cell r="AC9">
            <v>45975</v>
          </cell>
          <cell r="AD9">
            <v>42871</v>
          </cell>
          <cell r="AE9">
            <v>3104</v>
          </cell>
          <cell r="AF9">
            <v>8665</v>
          </cell>
          <cell r="AG9">
            <v>41817</v>
          </cell>
          <cell r="AH9">
            <v>40616</v>
          </cell>
          <cell r="AI9">
            <v>1201</v>
          </cell>
          <cell r="AJ9">
            <v>19936</v>
          </cell>
          <cell r="AK9">
            <v>17686</v>
          </cell>
          <cell r="AL9">
            <v>2742</v>
          </cell>
          <cell r="AM9">
            <v>224566</v>
          </cell>
          <cell r="AN9">
            <v>173257</v>
          </cell>
          <cell r="AO9">
            <v>51309</v>
          </cell>
          <cell r="AP9">
            <v>1119</v>
          </cell>
          <cell r="AQ9">
            <v>5154</v>
          </cell>
          <cell r="AR9">
            <v>96402</v>
          </cell>
          <cell r="AS9">
            <v>1113463</v>
          </cell>
          <cell r="AT9">
            <v>1112515</v>
          </cell>
          <cell r="AU9">
            <v>948</v>
          </cell>
          <cell r="AV9">
            <v>264520</v>
          </cell>
          <cell r="AW9">
            <v>13145</v>
          </cell>
          <cell r="AX9">
            <v>5991</v>
          </cell>
          <cell r="AY9">
            <v>26458</v>
          </cell>
          <cell r="AZ9">
            <v>73324</v>
          </cell>
          <cell r="BA9">
            <v>8439</v>
          </cell>
          <cell r="BB9">
            <v>8778</v>
          </cell>
          <cell r="BC9">
            <v>132670</v>
          </cell>
          <cell r="BD9">
            <v>6602</v>
          </cell>
          <cell r="BE9">
            <v>6133</v>
          </cell>
          <cell r="BF9">
            <v>14092</v>
          </cell>
          <cell r="BG9">
            <v>27713</v>
          </cell>
          <cell r="BH9">
            <v>23809</v>
          </cell>
          <cell r="BI9">
            <v>3904</v>
          </cell>
          <cell r="BJ9">
            <v>46887</v>
          </cell>
          <cell r="BK9">
            <v>32699</v>
          </cell>
          <cell r="BL9">
            <v>14188</v>
          </cell>
          <cell r="BM9">
            <v>6854</v>
          </cell>
          <cell r="BN9">
            <v>17516</v>
          </cell>
          <cell r="BO9">
            <v>23268</v>
          </cell>
          <cell r="BP9">
            <v>6373</v>
          </cell>
          <cell r="BQ9">
            <v>49860</v>
          </cell>
          <cell r="BR9">
            <v>9414</v>
          </cell>
          <cell r="BS9">
            <v>12106</v>
          </cell>
          <cell r="BT9">
            <v>47533</v>
          </cell>
          <cell r="BU9">
            <v>10011</v>
          </cell>
          <cell r="BV9">
            <v>3227</v>
          </cell>
          <cell r="BW9">
            <v>32850</v>
          </cell>
          <cell r="BX9">
            <v>30796</v>
          </cell>
          <cell r="BY9">
            <v>1375</v>
          </cell>
          <cell r="BZ9">
            <v>679</v>
          </cell>
          <cell r="CA9">
            <v>9199</v>
          </cell>
          <cell r="CB9">
            <v>195151</v>
          </cell>
          <cell r="CC9">
            <v>180964</v>
          </cell>
          <cell r="CD9">
            <v>14187</v>
          </cell>
          <cell r="CE9">
            <v>32240</v>
          </cell>
          <cell r="CF9">
            <v>3984</v>
          </cell>
          <cell r="CG9">
            <v>5713</v>
          </cell>
          <cell r="CH9">
            <v>2729</v>
          </cell>
          <cell r="CI9">
            <v>14395</v>
          </cell>
          <cell r="CJ9">
            <v>48820</v>
          </cell>
          <cell r="CK9">
            <v>6075</v>
          </cell>
          <cell r="CL9">
            <v>665043</v>
          </cell>
          <cell r="CM9">
            <v>97128</v>
          </cell>
          <cell r="CN9">
            <v>89047</v>
          </cell>
          <cell r="CO9">
            <v>2294</v>
          </cell>
          <cell r="CP9">
            <v>5787</v>
          </cell>
          <cell r="CQ9">
            <v>9379</v>
          </cell>
          <cell r="CR9">
            <v>44258</v>
          </cell>
          <cell r="CS9">
            <v>20985</v>
          </cell>
          <cell r="CT9">
            <v>3279</v>
          </cell>
          <cell r="CU9">
            <v>3702</v>
          </cell>
          <cell r="CV9">
            <v>1906</v>
          </cell>
          <cell r="CW9">
            <v>20113</v>
          </cell>
          <cell r="CX9">
            <v>30710</v>
          </cell>
          <cell r="CY9">
            <v>13882</v>
          </cell>
        </row>
        <row r="10">
          <cell r="A10" t="str">
            <v>Customers - Residential</v>
          </cell>
          <cell r="B10" t="str">
            <v>YNR</v>
          </cell>
          <cell r="C10">
            <v>2002</v>
          </cell>
          <cell r="D10">
            <v>1514</v>
          </cell>
          <cell r="E10">
            <v>52941</v>
          </cell>
          <cell r="F10">
            <v>30200</v>
          </cell>
          <cell r="G10">
            <v>6972</v>
          </cell>
          <cell r="H10">
            <v>31042</v>
          </cell>
          <cell r="I10">
            <v>50113</v>
          </cell>
          <cell r="J10">
            <v>39494</v>
          </cell>
          <cell r="K10">
            <v>4986</v>
          </cell>
          <cell r="L10">
            <v>1175</v>
          </cell>
          <cell r="M10">
            <v>28087</v>
          </cell>
          <cell r="N10">
            <v>1366</v>
          </cell>
          <cell r="O10">
            <v>11420</v>
          </cell>
          <cell r="P10">
            <v>1301</v>
          </cell>
          <cell r="Q10">
            <v>469</v>
          </cell>
          <cell r="R10">
            <v>9132</v>
          </cell>
          <cell r="S10">
            <v>146914</v>
          </cell>
          <cell r="T10">
            <v>72501</v>
          </cell>
          <cell r="U10">
            <v>11856</v>
          </cell>
          <cell r="V10">
            <v>2853</v>
          </cell>
          <cell r="W10">
            <v>24213</v>
          </cell>
          <cell r="X10">
            <v>16064</v>
          </cell>
          <cell r="Y10">
            <v>13846</v>
          </cell>
          <cell r="Z10">
            <v>3319</v>
          </cell>
          <cell r="AA10">
            <v>583</v>
          </cell>
          <cell r="AB10">
            <v>10378</v>
          </cell>
          <cell r="AC10">
            <v>41459</v>
          </cell>
          <cell r="AD10">
            <v>38643</v>
          </cell>
          <cell r="AE10">
            <v>2816</v>
          </cell>
          <cell r="AF10">
            <v>7848</v>
          </cell>
          <cell r="AG10">
            <v>37963</v>
          </cell>
          <cell r="AH10">
            <v>36892</v>
          </cell>
          <cell r="AI10">
            <v>1071</v>
          </cell>
          <cell r="AJ10">
            <v>17407</v>
          </cell>
          <cell r="AK10">
            <v>16312</v>
          </cell>
          <cell r="AL10">
            <v>2308</v>
          </cell>
          <cell r="AM10">
            <v>204319</v>
          </cell>
          <cell r="AN10">
            <v>158221</v>
          </cell>
          <cell r="AO10">
            <v>46098</v>
          </cell>
          <cell r="AP10">
            <v>955</v>
          </cell>
          <cell r="AQ10">
            <v>4521</v>
          </cell>
          <cell r="AR10">
            <v>88414</v>
          </cell>
          <cell r="AS10">
            <v>1006748</v>
          </cell>
          <cell r="AT10">
            <v>1005912</v>
          </cell>
          <cell r="AU10">
            <v>836</v>
          </cell>
          <cell r="AV10">
            <v>237755</v>
          </cell>
          <cell r="AW10">
            <v>12227</v>
          </cell>
          <cell r="AX10">
            <v>5186</v>
          </cell>
          <cell r="AY10">
            <v>22574</v>
          </cell>
          <cell r="AZ10">
            <v>65683</v>
          </cell>
          <cell r="BA10">
            <v>7339</v>
          </cell>
          <cell r="BB10">
            <v>7147</v>
          </cell>
          <cell r="BC10">
            <v>119454</v>
          </cell>
          <cell r="BD10">
            <v>5823</v>
          </cell>
          <cell r="BE10">
            <v>5358</v>
          </cell>
          <cell r="BF10">
            <v>12043</v>
          </cell>
          <cell r="BG10">
            <v>24561</v>
          </cell>
          <cell r="BH10">
            <v>20963</v>
          </cell>
          <cell r="BI10">
            <v>3598</v>
          </cell>
          <cell r="BJ10">
            <v>41602</v>
          </cell>
          <cell r="BK10">
            <v>29126</v>
          </cell>
          <cell r="BL10">
            <v>12476</v>
          </cell>
          <cell r="BM10">
            <v>5507</v>
          </cell>
          <cell r="BN10">
            <v>15187</v>
          </cell>
          <cell r="BO10">
            <v>20193</v>
          </cell>
          <cell r="BP10">
            <v>5403</v>
          </cell>
          <cell r="BQ10">
            <v>44251</v>
          </cell>
          <cell r="BR10">
            <v>8398</v>
          </cell>
          <cell r="BS10">
            <v>10538</v>
          </cell>
          <cell r="BT10">
            <v>42960</v>
          </cell>
          <cell r="BU10">
            <v>8421</v>
          </cell>
          <cell r="BV10">
            <v>2607</v>
          </cell>
          <cell r="BW10">
            <v>28354</v>
          </cell>
          <cell r="BX10">
            <v>26633</v>
          </cell>
          <cell r="BY10">
            <v>1146</v>
          </cell>
          <cell r="BZ10">
            <v>575</v>
          </cell>
          <cell r="CA10">
            <v>8066</v>
          </cell>
          <cell r="CB10">
            <v>170321</v>
          </cell>
          <cell r="CC10">
            <v>157514</v>
          </cell>
          <cell r="CD10">
            <v>12807</v>
          </cell>
          <cell r="CE10">
            <v>28526</v>
          </cell>
          <cell r="CF10">
            <v>3440</v>
          </cell>
          <cell r="CG10">
            <v>4856</v>
          </cell>
          <cell r="CH10">
            <v>2279</v>
          </cell>
          <cell r="CI10">
            <v>12666</v>
          </cell>
          <cell r="CJ10">
            <v>43688</v>
          </cell>
          <cell r="CK10">
            <v>5338</v>
          </cell>
          <cell r="CL10">
            <v>586714</v>
          </cell>
          <cell r="CM10">
            <v>87310</v>
          </cell>
          <cell r="CN10">
            <v>80271</v>
          </cell>
          <cell r="CO10">
            <v>1942</v>
          </cell>
          <cell r="CP10">
            <v>5097</v>
          </cell>
          <cell r="CQ10">
            <v>8534</v>
          </cell>
          <cell r="CR10">
            <v>38624</v>
          </cell>
          <cell r="CS10">
            <v>18768</v>
          </cell>
          <cell r="CT10">
            <v>2768</v>
          </cell>
          <cell r="CU10">
            <v>3166</v>
          </cell>
          <cell r="CV10">
            <v>1637</v>
          </cell>
          <cell r="CW10">
            <v>17521</v>
          </cell>
          <cell r="CX10">
            <v>28526</v>
          </cell>
          <cell r="CY10">
            <v>12429</v>
          </cell>
        </row>
        <row r="11">
          <cell r="A11" t="str">
            <v>Customers - Other</v>
          </cell>
          <cell r="B11" t="str">
            <v>YNO</v>
          </cell>
          <cell r="C11">
            <v>2002</v>
          </cell>
          <cell r="D11">
            <v>300</v>
          </cell>
          <cell r="E11">
            <v>6279</v>
          </cell>
          <cell r="F11">
            <v>4202</v>
          </cell>
          <cell r="G11">
            <v>1460</v>
          </cell>
          <cell r="H11">
            <v>3333</v>
          </cell>
          <cell r="I11">
            <v>5310</v>
          </cell>
          <cell r="J11">
            <v>4879</v>
          </cell>
          <cell r="K11">
            <v>676</v>
          </cell>
          <cell r="L11">
            <v>196</v>
          </cell>
          <cell r="M11">
            <v>3736</v>
          </cell>
          <cell r="N11">
            <v>245</v>
          </cell>
          <cell r="O11">
            <v>1742</v>
          </cell>
          <cell r="P11">
            <v>184</v>
          </cell>
          <cell r="Q11">
            <v>88</v>
          </cell>
          <cell r="R11">
            <v>1134</v>
          </cell>
          <cell r="S11">
            <v>19708</v>
          </cell>
          <cell r="T11">
            <v>8232</v>
          </cell>
          <cell r="U11">
            <v>1548</v>
          </cell>
          <cell r="V11">
            <v>472</v>
          </cell>
          <cell r="W11">
            <v>2072</v>
          </cell>
          <cell r="X11">
            <v>2303</v>
          </cell>
          <cell r="Y11">
            <v>1316</v>
          </cell>
          <cell r="Z11">
            <v>499</v>
          </cell>
          <cell r="AA11">
            <v>89</v>
          </cell>
          <cell r="AB11">
            <v>994</v>
          </cell>
          <cell r="AC11">
            <v>4516</v>
          </cell>
          <cell r="AD11">
            <v>4228</v>
          </cell>
          <cell r="AE11">
            <v>288</v>
          </cell>
          <cell r="AF11">
            <v>817</v>
          </cell>
          <cell r="AG11">
            <v>3854</v>
          </cell>
          <cell r="AH11">
            <v>3724</v>
          </cell>
          <cell r="AI11">
            <v>130</v>
          </cell>
          <cell r="AJ11">
            <v>2529</v>
          </cell>
          <cell r="AK11">
            <v>1374</v>
          </cell>
          <cell r="AL11">
            <v>434</v>
          </cell>
          <cell r="AM11">
            <v>20247</v>
          </cell>
          <cell r="AN11">
            <v>15036</v>
          </cell>
          <cell r="AO11">
            <v>5211</v>
          </cell>
          <cell r="AP11">
            <v>164</v>
          </cell>
          <cell r="AQ11">
            <v>633</v>
          </cell>
          <cell r="AR11">
            <v>7988</v>
          </cell>
          <cell r="AS11">
            <v>106715</v>
          </cell>
          <cell r="AT11">
            <v>106603</v>
          </cell>
          <cell r="AU11">
            <v>112</v>
          </cell>
          <cell r="AV11">
            <v>26765</v>
          </cell>
          <cell r="AW11">
            <v>918</v>
          </cell>
          <cell r="AX11">
            <v>805</v>
          </cell>
          <cell r="AY11">
            <v>3884</v>
          </cell>
          <cell r="AZ11">
            <v>7641</v>
          </cell>
          <cell r="BA11">
            <v>1100</v>
          </cell>
          <cell r="BB11">
            <v>1631</v>
          </cell>
          <cell r="BC11">
            <v>13216</v>
          </cell>
          <cell r="BD11">
            <v>779</v>
          </cell>
          <cell r="BE11">
            <v>775</v>
          </cell>
          <cell r="BF11">
            <v>2049</v>
          </cell>
          <cell r="BG11">
            <v>3152</v>
          </cell>
          <cell r="BH11">
            <v>2846</v>
          </cell>
          <cell r="BI11">
            <v>306</v>
          </cell>
          <cell r="BJ11">
            <v>5285</v>
          </cell>
          <cell r="BK11">
            <v>3573</v>
          </cell>
          <cell r="BL11">
            <v>1712</v>
          </cell>
          <cell r="BM11">
            <v>1347</v>
          </cell>
          <cell r="BN11">
            <v>2329</v>
          </cell>
          <cell r="BO11">
            <v>3075</v>
          </cell>
          <cell r="BP11">
            <v>970</v>
          </cell>
          <cell r="BQ11">
            <v>5609</v>
          </cell>
          <cell r="BR11">
            <v>1016</v>
          </cell>
          <cell r="BS11">
            <v>1568</v>
          </cell>
          <cell r="BT11">
            <v>4573</v>
          </cell>
          <cell r="BU11">
            <v>1590</v>
          </cell>
          <cell r="BV11">
            <v>620</v>
          </cell>
          <cell r="BW11">
            <v>4496</v>
          </cell>
          <cell r="BX11">
            <v>4163</v>
          </cell>
          <cell r="BY11">
            <v>229</v>
          </cell>
          <cell r="BZ11">
            <v>104</v>
          </cell>
          <cell r="CA11">
            <v>1133</v>
          </cell>
          <cell r="CB11">
            <v>24830</v>
          </cell>
          <cell r="CC11">
            <v>23450</v>
          </cell>
          <cell r="CD11">
            <v>1380</v>
          </cell>
          <cell r="CE11">
            <v>3714</v>
          </cell>
          <cell r="CF11">
            <v>544</v>
          </cell>
          <cell r="CG11">
            <v>857</v>
          </cell>
          <cell r="CH11">
            <v>450</v>
          </cell>
          <cell r="CI11">
            <v>1729</v>
          </cell>
          <cell r="CJ11">
            <v>5132</v>
          </cell>
          <cell r="CK11">
            <v>737</v>
          </cell>
          <cell r="CL11">
            <v>78329</v>
          </cell>
          <cell r="CM11">
            <v>9818</v>
          </cell>
          <cell r="CN11">
            <v>8776</v>
          </cell>
          <cell r="CO11">
            <v>352</v>
          </cell>
          <cell r="CP11">
            <v>690</v>
          </cell>
          <cell r="CQ11">
            <v>845</v>
          </cell>
          <cell r="CR11">
            <v>5634</v>
          </cell>
          <cell r="CS11">
            <v>2217</v>
          </cell>
          <cell r="CT11">
            <v>511</v>
          </cell>
          <cell r="CU11">
            <v>536</v>
          </cell>
          <cell r="CV11">
            <v>269</v>
          </cell>
          <cell r="CW11">
            <v>2592</v>
          </cell>
          <cell r="CX11">
            <v>2184</v>
          </cell>
          <cell r="CY11">
            <v>1453</v>
          </cell>
        </row>
        <row r="12">
          <cell r="A12" t="str">
            <v>kWh</v>
          </cell>
          <cell r="B12" t="str">
            <v>YV</v>
          </cell>
          <cell r="C12">
            <v>2002</v>
          </cell>
          <cell r="D12">
            <v>48452299</v>
          </cell>
          <cell r="E12">
            <v>1223152247</v>
          </cell>
          <cell r="F12">
            <v>1142049563</v>
          </cell>
          <cell r="G12">
            <v>247453181</v>
          </cell>
          <cell r="H12">
            <v>907624411</v>
          </cell>
          <cell r="I12">
            <v>1648001699</v>
          </cell>
          <cell r="J12">
            <v>1450044760</v>
          </cell>
          <cell r="K12">
            <v>68742121</v>
          </cell>
          <cell r="L12">
            <v>33581386</v>
          </cell>
          <cell r="M12">
            <v>933320390</v>
          </cell>
          <cell r="N12">
            <v>30918632</v>
          </cell>
          <cell r="O12">
            <v>354595877</v>
          </cell>
          <cell r="P12">
            <v>25472898</v>
          </cell>
          <cell r="Q12">
            <v>8131816</v>
          </cell>
          <cell r="R12">
            <v>186236990</v>
          </cell>
          <cell r="S12">
            <v>7582464083</v>
          </cell>
          <cell r="T12">
            <v>936089556</v>
          </cell>
          <cell r="U12">
            <v>366079169</v>
          </cell>
          <cell r="V12">
            <v>63927147</v>
          </cell>
          <cell r="W12">
            <v>538507764</v>
          </cell>
          <cell r="X12">
            <v>624925472</v>
          </cell>
          <cell r="Y12">
            <v>286898594</v>
          </cell>
          <cell r="Z12">
            <v>76689691</v>
          </cell>
          <cell r="AA12">
            <v>9113032</v>
          </cell>
          <cell r="AB12">
            <v>92650990.900000006</v>
          </cell>
          <cell r="AC12">
            <v>905209929.5</v>
          </cell>
          <cell r="AD12">
            <v>841690782</v>
          </cell>
          <cell r="AE12">
            <v>63519147.5</v>
          </cell>
          <cell r="AF12">
            <v>151859107</v>
          </cell>
          <cell r="AG12">
            <v>1482923145</v>
          </cell>
          <cell r="AH12">
            <v>1468479032</v>
          </cell>
          <cell r="AI12">
            <v>14444113</v>
          </cell>
          <cell r="AJ12">
            <v>350911723</v>
          </cell>
          <cell r="AK12">
            <v>413942278</v>
          </cell>
          <cell r="AL12">
            <v>119108138</v>
          </cell>
          <cell r="AM12">
            <v>3313495227</v>
          </cell>
          <cell r="AN12">
            <v>1901045613</v>
          </cell>
          <cell r="AO12">
            <v>1412449614</v>
          </cell>
          <cell r="AP12">
            <v>25609211</v>
          </cell>
          <cell r="AQ12">
            <v>198637486</v>
          </cell>
          <cell r="AR12">
            <v>3418980431</v>
          </cell>
          <cell r="AS12">
            <v>21556707252</v>
          </cell>
          <cell r="AT12">
            <v>21536250000</v>
          </cell>
          <cell r="AU12">
            <v>20457252</v>
          </cell>
          <cell r="AV12">
            <v>7470558035</v>
          </cell>
          <cell r="AW12">
            <v>169658537</v>
          </cell>
          <cell r="AX12">
            <v>111208080</v>
          </cell>
          <cell r="AY12">
            <v>733454032</v>
          </cell>
          <cell r="AZ12">
            <v>1915214161</v>
          </cell>
          <cell r="BA12">
            <v>290072203</v>
          </cell>
          <cell r="BB12">
            <v>126736273</v>
          </cell>
          <cell r="BC12">
            <v>3338203398</v>
          </cell>
          <cell r="BD12">
            <v>173255586</v>
          </cell>
          <cell r="BE12">
            <v>183909651.19999999</v>
          </cell>
          <cell r="BF12">
            <v>563564723</v>
          </cell>
          <cell r="BG12">
            <v>677272067</v>
          </cell>
          <cell r="BH12">
            <v>638133931</v>
          </cell>
          <cell r="BI12">
            <v>39138136</v>
          </cell>
          <cell r="BJ12">
            <v>1098901709</v>
          </cell>
          <cell r="BK12">
            <v>793012818</v>
          </cell>
          <cell r="BL12">
            <v>305888891</v>
          </cell>
          <cell r="BM12">
            <v>169174548</v>
          </cell>
          <cell r="BN12">
            <v>352729950</v>
          </cell>
          <cell r="BO12">
            <v>583444622</v>
          </cell>
          <cell r="BP12">
            <v>142682627</v>
          </cell>
          <cell r="BQ12">
            <v>1739077845</v>
          </cell>
          <cell r="BR12">
            <v>215589062</v>
          </cell>
          <cell r="BS12">
            <v>286884558</v>
          </cell>
          <cell r="BT12">
            <v>1163441783</v>
          </cell>
          <cell r="BU12">
            <v>191317428</v>
          </cell>
          <cell r="BV12">
            <v>78937017.299999997</v>
          </cell>
          <cell r="BW12">
            <v>808921986</v>
          </cell>
          <cell r="BX12">
            <v>764480212</v>
          </cell>
          <cell r="BY12">
            <v>31750150</v>
          </cell>
          <cell r="BZ12">
            <v>12691624</v>
          </cell>
          <cell r="CA12">
            <v>145862400</v>
          </cell>
          <cell r="CB12">
            <v>4891367835</v>
          </cell>
          <cell r="CC12">
            <v>4486786862</v>
          </cell>
          <cell r="CD12">
            <v>404580973</v>
          </cell>
          <cell r="CE12">
            <v>714673992</v>
          </cell>
          <cell r="CF12">
            <v>90391062</v>
          </cell>
          <cell r="CG12">
            <v>122481365</v>
          </cell>
          <cell r="CH12">
            <v>86260326</v>
          </cell>
          <cell r="CI12">
            <v>362208340</v>
          </cell>
          <cell r="CJ12">
            <v>1015641442</v>
          </cell>
          <cell r="CK12">
            <v>217790206</v>
          </cell>
          <cell r="CL12">
            <v>26177019147</v>
          </cell>
          <cell r="CM12">
            <v>2404558622</v>
          </cell>
          <cell r="CN12">
            <v>2281971131</v>
          </cell>
          <cell r="CO12">
            <v>30760339</v>
          </cell>
          <cell r="CP12">
            <v>91827152</v>
          </cell>
          <cell r="CQ12">
            <v>93651360.400000006</v>
          </cell>
          <cell r="CR12">
            <v>1251191402</v>
          </cell>
          <cell r="CS12">
            <v>472785317</v>
          </cell>
          <cell r="CT12">
            <v>89683500.799999997</v>
          </cell>
          <cell r="CU12">
            <v>132708672</v>
          </cell>
          <cell r="CV12">
            <v>19703882</v>
          </cell>
          <cell r="CW12">
            <v>428242940</v>
          </cell>
          <cell r="CX12">
            <v>756869340</v>
          </cell>
          <cell r="CY12">
            <v>377796305</v>
          </cell>
        </row>
        <row r="13">
          <cell r="A13" t="str">
            <v>kWh - Residential</v>
          </cell>
          <cell r="B13" t="str">
            <v>YVR</v>
          </cell>
          <cell r="C13">
            <v>2002</v>
          </cell>
          <cell r="D13">
            <v>11354867</v>
          </cell>
          <cell r="E13">
            <v>442416080</v>
          </cell>
          <cell r="F13">
            <v>286227229</v>
          </cell>
          <cell r="G13">
            <v>76963527</v>
          </cell>
          <cell r="H13">
            <v>282124517</v>
          </cell>
          <cell r="I13">
            <v>534809584</v>
          </cell>
          <cell r="J13">
            <v>357841995</v>
          </cell>
          <cell r="K13">
            <v>45213723</v>
          </cell>
          <cell r="L13">
            <v>16842271</v>
          </cell>
          <cell r="M13">
            <v>253649524</v>
          </cell>
          <cell r="N13">
            <v>12306142</v>
          </cell>
          <cell r="O13">
            <v>115516315</v>
          </cell>
          <cell r="P13">
            <v>15996835</v>
          </cell>
          <cell r="Q13">
            <v>4341362</v>
          </cell>
          <cell r="R13">
            <v>91843709</v>
          </cell>
          <cell r="S13">
            <v>1584798809</v>
          </cell>
          <cell r="T13">
            <v>684811661</v>
          </cell>
          <cell r="U13">
            <v>106162959</v>
          </cell>
          <cell r="V13">
            <v>32562746</v>
          </cell>
          <cell r="W13">
            <v>268250194</v>
          </cell>
          <cell r="X13">
            <v>140876233</v>
          </cell>
          <cell r="Y13">
            <v>112090846</v>
          </cell>
          <cell r="Z13">
            <v>37033883</v>
          </cell>
          <cell r="AA13">
            <v>5852818</v>
          </cell>
          <cell r="AB13">
            <v>40340400</v>
          </cell>
          <cell r="AC13">
            <v>378665428.89999998</v>
          </cell>
          <cell r="AD13">
            <v>352862668</v>
          </cell>
          <cell r="AE13">
            <v>25802760.899999999</v>
          </cell>
          <cell r="AF13">
            <v>83172330</v>
          </cell>
          <cell r="AG13">
            <v>337866377</v>
          </cell>
          <cell r="AH13">
            <v>326813916</v>
          </cell>
          <cell r="AI13">
            <v>11052461</v>
          </cell>
          <cell r="AJ13">
            <v>177417293</v>
          </cell>
          <cell r="AK13">
            <v>195544773</v>
          </cell>
          <cell r="AL13">
            <v>27216899</v>
          </cell>
          <cell r="AM13">
            <v>1802567143</v>
          </cell>
          <cell r="AN13">
            <v>1386158911</v>
          </cell>
          <cell r="AO13">
            <v>416408232</v>
          </cell>
          <cell r="AP13">
            <v>14810717</v>
          </cell>
          <cell r="AQ13">
            <v>39345946</v>
          </cell>
          <cell r="AR13">
            <v>942367912</v>
          </cell>
          <cell r="AS13">
            <v>11691112100</v>
          </cell>
          <cell r="AT13">
            <v>11679450000</v>
          </cell>
          <cell r="AU13">
            <v>11662100</v>
          </cell>
          <cell r="AV13">
            <v>2255325713</v>
          </cell>
          <cell r="AW13">
            <v>146170316</v>
          </cell>
          <cell r="AX13">
            <v>40435653</v>
          </cell>
          <cell r="AY13">
            <v>207937574</v>
          </cell>
          <cell r="AZ13">
            <v>592397236</v>
          </cell>
          <cell r="BA13">
            <v>86367988</v>
          </cell>
          <cell r="BB13">
            <v>79090352</v>
          </cell>
          <cell r="BC13">
            <v>1126683291</v>
          </cell>
          <cell r="BD13">
            <v>56688715</v>
          </cell>
          <cell r="BE13">
            <v>37213253.5</v>
          </cell>
          <cell r="BF13">
            <v>150455870</v>
          </cell>
          <cell r="BG13">
            <v>255569423</v>
          </cell>
          <cell r="BH13">
            <v>226842406</v>
          </cell>
          <cell r="BI13">
            <v>28727017</v>
          </cell>
          <cell r="BJ13">
            <v>402872888</v>
          </cell>
          <cell r="BK13">
            <v>248661554</v>
          </cell>
          <cell r="BL13">
            <v>154211334</v>
          </cell>
          <cell r="BM13">
            <v>63940313</v>
          </cell>
          <cell r="BN13">
            <v>139103756</v>
          </cell>
          <cell r="BO13">
            <v>211788238</v>
          </cell>
          <cell r="BP13">
            <v>47840309</v>
          </cell>
          <cell r="BQ13">
            <v>516094957</v>
          </cell>
          <cell r="BR13">
            <v>75060870</v>
          </cell>
          <cell r="BS13">
            <v>100616157</v>
          </cell>
          <cell r="BT13">
            <v>480135066</v>
          </cell>
          <cell r="BU13">
            <v>76563860</v>
          </cell>
          <cell r="BV13">
            <v>34515324.399999999</v>
          </cell>
          <cell r="BW13">
            <v>301118299</v>
          </cell>
          <cell r="BX13">
            <v>281474786</v>
          </cell>
          <cell r="BY13">
            <v>13050466</v>
          </cell>
          <cell r="BZ13">
            <v>6593047</v>
          </cell>
          <cell r="CA13">
            <v>43644936</v>
          </cell>
          <cell r="CB13">
            <v>1909581281</v>
          </cell>
          <cell r="CC13">
            <v>1765172709</v>
          </cell>
          <cell r="CD13">
            <v>144408572</v>
          </cell>
          <cell r="CE13">
            <v>353515082</v>
          </cell>
          <cell r="CF13">
            <v>30951632</v>
          </cell>
          <cell r="CG13">
            <v>44348020</v>
          </cell>
          <cell r="CH13">
            <v>31422729</v>
          </cell>
          <cell r="CI13">
            <v>111303194</v>
          </cell>
          <cell r="CJ13">
            <v>348898285</v>
          </cell>
          <cell r="CK13">
            <v>50972655</v>
          </cell>
          <cell r="CL13">
            <v>5641748572</v>
          </cell>
          <cell r="CM13">
            <v>932961731</v>
          </cell>
          <cell r="CN13">
            <v>865645756</v>
          </cell>
          <cell r="CO13">
            <v>20159682</v>
          </cell>
          <cell r="CP13">
            <v>47156293</v>
          </cell>
          <cell r="CQ13">
            <v>65472676.299999997</v>
          </cell>
          <cell r="CR13">
            <v>386933262</v>
          </cell>
          <cell r="CS13">
            <v>145785623</v>
          </cell>
          <cell r="CT13">
            <v>24585867.5</v>
          </cell>
          <cell r="CU13">
            <v>26784344</v>
          </cell>
          <cell r="CV13">
            <v>13788429</v>
          </cell>
          <cell r="CW13">
            <v>204755002</v>
          </cell>
          <cell r="CX13">
            <v>297965004</v>
          </cell>
          <cell r="CY13">
            <v>107536736</v>
          </cell>
        </row>
        <row r="14">
          <cell r="A14" t="str">
            <v>kWh - Other</v>
          </cell>
          <cell r="B14" t="str">
            <v>YVO</v>
          </cell>
          <cell r="C14">
            <v>2002</v>
          </cell>
          <cell r="D14">
            <v>37097432</v>
          </cell>
          <cell r="E14">
            <v>780736167</v>
          </cell>
          <cell r="F14">
            <v>855822334</v>
          </cell>
          <cell r="G14">
            <v>170489654</v>
          </cell>
          <cell r="H14">
            <v>625499894</v>
          </cell>
          <cell r="I14">
            <v>1113192115</v>
          </cell>
          <cell r="J14">
            <v>1092202765</v>
          </cell>
          <cell r="K14">
            <v>23528398</v>
          </cell>
          <cell r="L14">
            <v>16739115</v>
          </cell>
          <cell r="M14">
            <v>679670866</v>
          </cell>
          <cell r="N14">
            <v>18612490</v>
          </cell>
          <cell r="O14">
            <v>239079562</v>
          </cell>
          <cell r="P14">
            <v>9476063</v>
          </cell>
          <cell r="Q14">
            <v>3790454</v>
          </cell>
          <cell r="R14">
            <v>94393281</v>
          </cell>
          <cell r="S14">
            <v>5997665274</v>
          </cell>
          <cell r="T14">
            <v>251277895</v>
          </cell>
          <cell r="U14">
            <v>259916210</v>
          </cell>
          <cell r="V14">
            <v>31364401</v>
          </cell>
          <cell r="W14">
            <v>270257570</v>
          </cell>
          <cell r="X14">
            <v>484049239</v>
          </cell>
          <cell r="Y14">
            <v>174807748</v>
          </cell>
          <cell r="Z14">
            <v>39655808</v>
          </cell>
          <cell r="AA14">
            <v>3260214</v>
          </cell>
          <cell r="AB14">
            <v>52310590.900000006</v>
          </cell>
          <cell r="AC14">
            <v>526544500.60000002</v>
          </cell>
          <cell r="AD14">
            <v>488828114</v>
          </cell>
          <cell r="AE14">
            <v>37716386.600000001</v>
          </cell>
          <cell r="AF14">
            <v>68686777</v>
          </cell>
          <cell r="AG14">
            <v>1145056768</v>
          </cell>
          <cell r="AH14">
            <v>1141665116</v>
          </cell>
          <cell r="AI14">
            <v>3391652</v>
          </cell>
          <cell r="AJ14">
            <v>173494430</v>
          </cell>
          <cell r="AK14">
            <v>218397505</v>
          </cell>
          <cell r="AL14">
            <v>91891239</v>
          </cell>
          <cell r="AM14">
            <v>1510928084</v>
          </cell>
          <cell r="AN14">
            <v>514886702</v>
          </cell>
          <cell r="AO14">
            <v>996041382</v>
          </cell>
          <cell r="AP14">
            <v>10798494</v>
          </cell>
          <cell r="AQ14">
            <v>159291540</v>
          </cell>
          <cell r="AR14">
            <v>2476612519</v>
          </cell>
          <cell r="AS14">
            <v>9865595152</v>
          </cell>
          <cell r="AT14">
            <v>9856800000</v>
          </cell>
          <cell r="AU14">
            <v>8795152</v>
          </cell>
          <cell r="AV14">
            <v>5215232322</v>
          </cell>
          <cell r="AW14">
            <v>23488221</v>
          </cell>
          <cell r="AX14">
            <v>70772427</v>
          </cell>
          <cell r="AY14">
            <v>525516458</v>
          </cell>
          <cell r="AZ14">
            <v>1322816925</v>
          </cell>
          <cell r="BA14">
            <v>203704215</v>
          </cell>
          <cell r="BB14">
            <v>47645921</v>
          </cell>
          <cell r="BC14">
            <v>2211520107</v>
          </cell>
          <cell r="BD14">
            <v>116566871</v>
          </cell>
          <cell r="BE14">
            <v>146696397.69999999</v>
          </cell>
          <cell r="BF14">
            <v>413108853</v>
          </cell>
          <cell r="BG14">
            <v>421702644</v>
          </cell>
          <cell r="BH14">
            <v>411291525</v>
          </cell>
          <cell r="BI14">
            <v>10411119</v>
          </cell>
          <cell r="BJ14">
            <v>696028821</v>
          </cell>
          <cell r="BK14">
            <v>544351264</v>
          </cell>
          <cell r="BL14">
            <v>151677557</v>
          </cell>
          <cell r="BM14">
            <v>105234235</v>
          </cell>
          <cell r="BN14">
            <v>213626194</v>
          </cell>
          <cell r="BO14">
            <v>371656384</v>
          </cell>
          <cell r="BP14">
            <v>94842318</v>
          </cell>
          <cell r="BQ14">
            <v>1222982888</v>
          </cell>
          <cell r="BR14">
            <v>140528192</v>
          </cell>
          <cell r="BS14">
            <v>186268401</v>
          </cell>
          <cell r="BT14">
            <v>683306717</v>
          </cell>
          <cell r="BU14">
            <v>114753568</v>
          </cell>
          <cell r="BV14">
            <v>44421692.899999999</v>
          </cell>
          <cell r="BW14">
            <v>507803687</v>
          </cell>
          <cell r="BX14">
            <v>483005426</v>
          </cell>
          <cell r="BY14">
            <v>18699684</v>
          </cell>
          <cell r="BZ14">
            <v>6098577</v>
          </cell>
          <cell r="CA14">
            <v>102217464</v>
          </cell>
          <cell r="CB14">
            <v>2981786554</v>
          </cell>
          <cell r="CC14">
            <v>2721614153</v>
          </cell>
          <cell r="CD14">
            <v>260172401</v>
          </cell>
          <cell r="CE14">
            <v>361158910</v>
          </cell>
          <cell r="CF14">
            <v>59439430</v>
          </cell>
          <cell r="CG14">
            <v>78133345</v>
          </cell>
          <cell r="CH14">
            <v>54837597</v>
          </cell>
          <cell r="CI14">
            <v>250905146</v>
          </cell>
          <cell r="CJ14">
            <v>666743157</v>
          </cell>
          <cell r="CK14">
            <v>166817551</v>
          </cell>
          <cell r="CL14">
            <v>20535270575</v>
          </cell>
          <cell r="CM14">
            <v>1471596891</v>
          </cell>
          <cell r="CN14">
            <v>1416325375</v>
          </cell>
          <cell r="CO14">
            <v>10600657</v>
          </cell>
          <cell r="CP14">
            <v>44670859</v>
          </cell>
          <cell r="CQ14">
            <v>28178684.100000009</v>
          </cell>
          <cell r="CR14">
            <v>864258140</v>
          </cell>
          <cell r="CS14">
            <v>326999694</v>
          </cell>
          <cell r="CT14">
            <v>65097633.299999997</v>
          </cell>
          <cell r="CU14">
            <v>105924328</v>
          </cell>
          <cell r="CV14">
            <v>5915453</v>
          </cell>
          <cell r="CW14">
            <v>223487938</v>
          </cell>
          <cell r="CX14">
            <v>458904336</v>
          </cell>
          <cell r="CY14">
            <v>270259569</v>
          </cell>
        </row>
        <row r="15">
          <cell r="A15" t="str">
            <v>kW</v>
          </cell>
          <cell r="B15" t="str">
            <v>YD</v>
          </cell>
          <cell r="C15">
            <v>2002</v>
          </cell>
          <cell r="D15">
            <v>63091.3</v>
          </cell>
          <cell r="E15">
            <v>1515941</v>
          </cell>
          <cell r="F15">
            <v>1170270</v>
          </cell>
          <cell r="G15">
            <v>460108</v>
          </cell>
          <cell r="H15">
            <v>1367555</v>
          </cell>
          <cell r="I15">
            <v>2383672</v>
          </cell>
          <cell r="J15">
            <v>3118426</v>
          </cell>
          <cell r="K15">
            <v>226875.9</v>
          </cell>
          <cell r="L15">
            <v>23502</v>
          </cell>
          <cell r="M15">
            <v>1417879</v>
          </cell>
          <cell r="N15">
            <v>29091</v>
          </cell>
          <cell r="O15">
            <v>685000</v>
          </cell>
          <cell r="P15">
            <v>8066.1</v>
          </cell>
          <cell r="Q15">
            <v>2989</v>
          </cell>
          <cell r="R15">
            <v>0</v>
          </cell>
          <cell r="S15">
            <v>13543050</v>
          </cell>
          <cell r="T15">
            <v>5167186</v>
          </cell>
          <cell r="U15">
            <v>477886</v>
          </cell>
          <cell r="V15">
            <v>0</v>
          </cell>
          <cell r="W15">
            <v>531155</v>
          </cell>
          <cell r="X15">
            <v>1012308</v>
          </cell>
          <cell r="Y15">
            <v>303387</v>
          </cell>
          <cell r="Z15">
            <v>34727</v>
          </cell>
          <cell r="AA15">
            <v>6731</v>
          </cell>
          <cell r="AB15">
            <v>86690.2</v>
          </cell>
          <cell r="AC15">
            <v>938274.5</v>
          </cell>
          <cell r="AD15">
            <v>887147.3</v>
          </cell>
          <cell r="AE15">
            <v>51127.199999999997</v>
          </cell>
          <cell r="AF15">
            <v>159107.79999999999</v>
          </cell>
          <cell r="AG15">
            <v>2214584</v>
          </cell>
          <cell r="AH15">
            <v>2213345</v>
          </cell>
          <cell r="AI15">
            <v>1239</v>
          </cell>
          <cell r="AJ15">
            <v>534513</v>
          </cell>
          <cell r="AK15">
            <v>0</v>
          </cell>
          <cell r="AL15">
            <v>132872.70000000001</v>
          </cell>
          <cell r="AM15">
            <v>9647662</v>
          </cell>
          <cell r="AN15">
            <v>7664796</v>
          </cell>
          <cell r="AO15">
            <v>1982866</v>
          </cell>
          <cell r="AP15">
            <v>14500</v>
          </cell>
          <cell r="AQ15">
            <v>0</v>
          </cell>
          <cell r="AR15">
            <v>5165248</v>
          </cell>
          <cell r="AS15">
            <v>27724462</v>
          </cell>
          <cell r="AT15">
            <v>27712700</v>
          </cell>
          <cell r="AU15">
            <v>11762</v>
          </cell>
          <cell r="AV15">
            <v>10794022</v>
          </cell>
          <cell r="AW15">
            <v>97496</v>
          </cell>
          <cell r="AX15">
            <v>80384</v>
          </cell>
          <cell r="AY15">
            <v>906017</v>
          </cell>
          <cell r="AZ15">
            <v>2761466</v>
          </cell>
          <cell r="BA15">
            <v>380000</v>
          </cell>
          <cell r="BB15">
            <v>234574.8</v>
          </cell>
          <cell r="BC15">
            <v>4275856</v>
          </cell>
          <cell r="BD15">
            <v>290710</v>
          </cell>
          <cell r="BE15">
            <v>312707.59999999998</v>
          </cell>
          <cell r="BF15">
            <v>880101</v>
          </cell>
          <cell r="BG15">
            <v>733847</v>
          </cell>
          <cell r="BH15">
            <v>721672</v>
          </cell>
          <cell r="BI15">
            <v>12175</v>
          </cell>
          <cell r="BJ15">
            <v>2238803</v>
          </cell>
          <cell r="BK15">
            <v>1775029</v>
          </cell>
          <cell r="BL15">
            <v>463774</v>
          </cell>
          <cell r="BM15">
            <v>198904</v>
          </cell>
          <cell r="BN15">
            <v>356580</v>
          </cell>
          <cell r="BO15">
            <v>691273</v>
          </cell>
          <cell r="BP15">
            <v>754897</v>
          </cell>
          <cell r="BQ15">
            <v>2543873</v>
          </cell>
          <cell r="BR15">
            <v>284024</v>
          </cell>
          <cell r="BS15">
            <v>313102</v>
          </cell>
          <cell r="BT15">
            <v>1581826</v>
          </cell>
          <cell r="BU15">
            <v>195834</v>
          </cell>
          <cell r="BV15">
            <v>0</v>
          </cell>
          <cell r="BW15">
            <v>898619</v>
          </cell>
          <cell r="BX15">
            <v>860844</v>
          </cell>
          <cell r="BY15">
            <v>33029</v>
          </cell>
          <cell r="BZ15">
            <v>4746</v>
          </cell>
          <cell r="CA15">
            <v>258336.6</v>
          </cell>
          <cell r="CB15">
            <v>9185825</v>
          </cell>
          <cell r="CC15">
            <v>8702745</v>
          </cell>
          <cell r="CD15">
            <v>483080</v>
          </cell>
          <cell r="CE15">
            <v>673677</v>
          </cell>
          <cell r="CF15">
            <v>124674</v>
          </cell>
          <cell r="CG15">
            <v>148083.29999999999</v>
          </cell>
          <cell r="CH15">
            <v>72507</v>
          </cell>
          <cell r="CI15">
            <v>537127</v>
          </cell>
          <cell r="CJ15">
            <v>463537</v>
          </cell>
          <cell r="CK15">
            <v>339211</v>
          </cell>
          <cell r="CL15">
            <v>43696886</v>
          </cell>
          <cell r="CM15">
            <v>2861868</v>
          </cell>
          <cell r="CN15">
            <v>2723610</v>
          </cell>
          <cell r="CO15">
            <v>39346</v>
          </cell>
          <cell r="CP15">
            <v>98912</v>
          </cell>
          <cell r="CQ15">
            <v>56478.6</v>
          </cell>
          <cell r="CR15">
            <v>1831005</v>
          </cell>
          <cell r="CS15">
            <v>723728</v>
          </cell>
          <cell r="CT15">
            <v>130012</v>
          </cell>
          <cell r="CU15">
            <v>229361.8</v>
          </cell>
          <cell r="CV15">
            <v>82903</v>
          </cell>
          <cell r="CW15">
            <v>0</v>
          </cell>
          <cell r="CX15">
            <v>0</v>
          </cell>
          <cell r="CY15">
            <v>491674</v>
          </cell>
        </row>
        <row r="16">
          <cell r="A16" t="str">
            <v>kW - Residential</v>
          </cell>
          <cell r="B16" t="str">
            <v>YDR</v>
          </cell>
          <cell r="C16">
            <v>2002</v>
          </cell>
          <cell r="D16">
            <v>0</v>
          </cell>
          <cell r="E16">
            <v>0</v>
          </cell>
          <cell r="F16">
            <v>0</v>
          </cell>
          <cell r="G16">
            <v>0</v>
          </cell>
          <cell r="H16">
            <v>0</v>
          </cell>
          <cell r="I16">
            <v>0</v>
          </cell>
          <cell r="J16">
            <v>0</v>
          </cell>
          <cell r="K16">
            <v>0</v>
          </cell>
          <cell r="L16">
            <v>0</v>
          </cell>
          <cell r="M16">
            <v>0</v>
          </cell>
          <cell r="N16">
            <v>0</v>
          </cell>
          <cell r="O16">
            <v>213439</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946200</v>
          </cell>
          <cell r="AT16">
            <v>946200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1601337</v>
          </cell>
          <cell r="CS16">
            <v>0</v>
          </cell>
          <cell r="CT16">
            <v>0</v>
          </cell>
          <cell r="CU16">
            <v>0</v>
          </cell>
          <cell r="CV16">
            <v>0</v>
          </cell>
          <cell r="CW16">
            <v>0</v>
          </cell>
          <cell r="CX16">
            <v>0</v>
          </cell>
          <cell r="CY16">
            <v>0</v>
          </cell>
        </row>
        <row r="17">
          <cell r="A17" t="str">
            <v>kW - Other</v>
          </cell>
          <cell r="B17" t="str">
            <v>YDO</v>
          </cell>
          <cell r="C17">
            <v>2002</v>
          </cell>
          <cell r="D17">
            <v>63091.3</v>
          </cell>
          <cell r="E17">
            <v>1515941</v>
          </cell>
          <cell r="F17">
            <v>1170270</v>
          </cell>
          <cell r="G17">
            <v>460108</v>
          </cell>
          <cell r="H17">
            <v>1367555</v>
          </cell>
          <cell r="I17">
            <v>2383672</v>
          </cell>
          <cell r="J17">
            <v>3118426</v>
          </cell>
          <cell r="K17">
            <v>226875.9</v>
          </cell>
          <cell r="L17">
            <v>23502</v>
          </cell>
          <cell r="M17">
            <v>1417879</v>
          </cell>
          <cell r="N17">
            <v>29091</v>
          </cell>
          <cell r="O17">
            <v>471561</v>
          </cell>
          <cell r="P17">
            <v>8066.1</v>
          </cell>
          <cell r="Q17">
            <v>2989</v>
          </cell>
          <cell r="R17">
            <v>0</v>
          </cell>
          <cell r="S17">
            <v>13543050</v>
          </cell>
          <cell r="T17">
            <v>5167186</v>
          </cell>
          <cell r="U17">
            <v>477886</v>
          </cell>
          <cell r="V17">
            <v>0</v>
          </cell>
          <cell r="W17">
            <v>531155</v>
          </cell>
          <cell r="X17">
            <v>1012308</v>
          </cell>
          <cell r="Y17">
            <v>303387</v>
          </cell>
          <cell r="Z17">
            <v>34727</v>
          </cell>
          <cell r="AA17">
            <v>6731</v>
          </cell>
          <cell r="AB17">
            <v>86690.2</v>
          </cell>
          <cell r="AC17">
            <v>938274.5</v>
          </cell>
          <cell r="AD17">
            <v>887147.3</v>
          </cell>
          <cell r="AE17">
            <v>51127.199999999997</v>
          </cell>
          <cell r="AF17">
            <v>159107.79999999999</v>
          </cell>
          <cell r="AG17">
            <v>2214584</v>
          </cell>
          <cell r="AH17">
            <v>2213345</v>
          </cell>
          <cell r="AI17">
            <v>1239</v>
          </cell>
          <cell r="AJ17">
            <v>534513</v>
          </cell>
          <cell r="AK17">
            <v>0</v>
          </cell>
          <cell r="AL17">
            <v>132872.70000000001</v>
          </cell>
          <cell r="AM17">
            <v>9647662</v>
          </cell>
          <cell r="AN17">
            <v>7664796</v>
          </cell>
          <cell r="AO17">
            <v>1982866</v>
          </cell>
          <cell r="AP17">
            <v>14500</v>
          </cell>
          <cell r="AQ17">
            <v>0</v>
          </cell>
          <cell r="AR17">
            <v>5165248</v>
          </cell>
          <cell r="AS17">
            <v>26778262</v>
          </cell>
          <cell r="AT17">
            <v>26766500</v>
          </cell>
          <cell r="AU17">
            <v>11762</v>
          </cell>
          <cell r="AV17">
            <v>10794022</v>
          </cell>
          <cell r="AW17">
            <v>97496</v>
          </cell>
          <cell r="AX17">
            <v>80384</v>
          </cell>
          <cell r="AY17">
            <v>906017</v>
          </cell>
          <cell r="AZ17">
            <v>2761466</v>
          </cell>
          <cell r="BA17">
            <v>380000</v>
          </cell>
          <cell r="BB17">
            <v>234574.8</v>
          </cell>
          <cell r="BC17">
            <v>4275856</v>
          </cell>
          <cell r="BD17">
            <v>290710</v>
          </cell>
          <cell r="BE17">
            <v>312707.59999999998</v>
          </cell>
          <cell r="BF17">
            <v>880101</v>
          </cell>
          <cell r="BG17">
            <v>733847</v>
          </cell>
          <cell r="BH17">
            <v>721672</v>
          </cell>
          <cell r="BI17">
            <v>12175</v>
          </cell>
          <cell r="BJ17">
            <v>2238803</v>
          </cell>
          <cell r="BK17">
            <v>1775029</v>
          </cell>
          <cell r="BL17">
            <v>463774</v>
          </cell>
          <cell r="BM17">
            <v>198904</v>
          </cell>
          <cell r="BN17">
            <v>356580</v>
          </cell>
          <cell r="BO17">
            <v>691273</v>
          </cell>
          <cell r="BP17">
            <v>754897</v>
          </cell>
          <cell r="BQ17">
            <v>2543873</v>
          </cell>
          <cell r="BR17">
            <v>284024</v>
          </cell>
          <cell r="BS17">
            <v>313102</v>
          </cell>
          <cell r="BT17">
            <v>1581826</v>
          </cell>
          <cell r="BU17">
            <v>195834</v>
          </cell>
          <cell r="BV17">
            <v>0</v>
          </cell>
          <cell r="BW17">
            <v>898619</v>
          </cell>
          <cell r="BX17">
            <v>860844</v>
          </cell>
          <cell r="BY17">
            <v>33029</v>
          </cell>
          <cell r="BZ17">
            <v>4746</v>
          </cell>
          <cell r="CA17">
            <v>258336.6</v>
          </cell>
          <cell r="CB17">
            <v>9185825</v>
          </cell>
          <cell r="CC17">
            <v>8702745</v>
          </cell>
          <cell r="CD17">
            <v>483080</v>
          </cell>
          <cell r="CE17">
            <v>673677</v>
          </cell>
          <cell r="CF17">
            <v>124674</v>
          </cell>
          <cell r="CG17">
            <v>148083.29999999999</v>
          </cell>
          <cell r="CH17">
            <v>72507</v>
          </cell>
          <cell r="CI17">
            <v>537127</v>
          </cell>
          <cell r="CJ17">
            <v>463537</v>
          </cell>
          <cell r="CK17">
            <v>339211</v>
          </cell>
          <cell r="CL17">
            <v>43696886</v>
          </cell>
          <cell r="CM17">
            <v>2861868</v>
          </cell>
          <cell r="CN17">
            <v>2723610</v>
          </cell>
          <cell r="CO17">
            <v>39346</v>
          </cell>
          <cell r="CP17">
            <v>98912</v>
          </cell>
          <cell r="CQ17">
            <v>56478.6</v>
          </cell>
          <cell r="CR17">
            <v>229668</v>
          </cell>
          <cell r="CS17">
            <v>723728</v>
          </cell>
          <cell r="CT17">
            <v>130012</v>
          </cell>
          <cell r="CU17">
            <v>229361.8</v>
          </cell>
          <cell r="CV17">
            <v>82903</v>
          </cell>
          <cell r="CW17">
            <v>0</v>
          </cell>
          <cell r="CX17">
            <v>0</v>
          </cell>
          <cell r="CY17">
            <v>491674</v>
          </cell>
        </row>
        <row r="18">
          <cell r="A18" t="str">
            <v>Total service area</v>
          </cell>
          <cell r="B18" t="str">
            <v>AREA</v>
          </cell>
          <cell r="C18">
            <v>2002</v>
          </cell>
          <cell r="D18">
            <v>380.25</v>
          </cell>
          <cell r="E18">
            <v>374</v>
          </cell>
          <cell r="F18">
            <v>201.3</v>
          </cell>
          <cell r="G18">
            <v>257.5</v>
          </cell>
          <cell r="H18">
            <v>74</v>
          </cell>
          <cell r="I18">
            <v>188.16</v>
          </cell>
          <cell r="J18">
            <v>303</v>
          </cell>
          <cell r="K18">
            <v>10.77</v>
          </cell>
          <cell r="L18">
            <v>2</v>
          </cell>
          <cell r="M18">
            <v>70</v>
          </cell>
          <cell r="N18">
            <v>4.78</v>
          </cell>
          <cell r="O18">
            <v>57.8</v>
          </cell>
          <cell r="P18">
            <v>5</v>
          </cell>
          <cell r="Q18">
            <v>2</v>
          </cell>
          <cell r="R18">
            <v>21.26</v>
          </cell>
          <cell r="S18">
            <v>287</v>
          </cell>
          <cell r="T18">
            <v>120</v>
          </cell>
          <cell r="U18">
            <v>46.96</v>
          </cell>
          <cell r="V18">
            <v>99</v>
          </cell>
          <cell r="W18">
            <v>104.56</v>
          </cell>
          <cell r="X18">
            <v>44.66</v>
          </cell>
          <cell r="Y18">
            <v>168</v>
          </cell>
          <cell r="Z18">
            <v>26.5</v>
          </cell>
          <cell r="AA18">
            <v>1.5</v>
          </cell>
          <cell r="AB18">
            <v>13600</v>
          </cell>
          <cell r="AC18">
            <v>411.5</v>
          </cell>
          <cell r="AD18">
            <v>402.5</v>
          </cell>
          <cell r="AE18">
            <v>9</v>
          </cell>
          <cell r="AF18">
            <v>68.12</v>
          </cell>
          <cell r="AG18">
            <v>93</v>
          </cell>
          <cell r="AH18">
            <v>89</v>
          </cell>
          <cell r="AI18">
            <v>4</v>
          </cell>
          <cell r="AJ18">
            <v>1275</v>
          </cell>
          <cell r="AK18">
            <v>354.5</v>
          </cell>
          <cell r="AL18">
            <v>93.48</v>
          </cell>
          <cell r="AM18">
            <v>426</v>
          </cell>
          <cell r="AN18">
            <v>331</v>
          </cell>
          <cell r="AO18">
            <v>95</v>
          </cell>
          <cell r="AP18">
            <v>9.76</v>
          </cell>
          <cell r="AQ18">
            <v>8.6</v>
          </cell>
          <cell r="AR18">
            <v>295</v>
          </cell>
          <cell r="AS18">
            <v>650006.19999999995</v>
          </cell>
          <cell r="AT18">
            <v>650000</v>
          </cell>
          <cell r="AU18">
            <v>6.2</v>
          </cell>
          <cell r="AV18">
            <v>1054</v>
          </cell>
          <cell r="AW18">
            <v>292</v>
          </cell>
          <cell r="AX18">
            <v>24.8</v>
          </cell>
          <cell r="AY18">
            <v>31.62</v>
          </cell>
          <cell r="AZ18">
            <v>404</v>
          </cell>
          <cell r="BA18">
            <v>27.33</v>
          </cell>
          <cell r="BB18">
            <v>77.400000000000006</v>
          </cell>
          <cell r="BC18">
            <v>421.5</v>
          </cell>
          <cell r="BD18">
            <v>21.86</v>
          </cell>
          <cell r="BE18">
            <v>20</v>
          </cell>
          <cell r="BF18">
            <v>381</v>
          </cell>
          <cell r="BG18">
            <v>88</v>
          </cell>
          <cell r="BH18">
            <v>41</v>
          </cell>
          <cell r="BI18">
            <v>47</v>
          </cell>
          <cell r="BJ18">
            <v>787.07</v>
          </cell>
          <cell r="BK18">
            <v>207</v>
          </cell>
          <cell r="BL18">
            <v>580.07000000000005</v>
          </cell>
          <cell r="BM18">
            <v>125</v>
          </cell>
          <cell r="BN18">
            <v>693</v>
          </cell>
          <cell r="BO18">
            <v>330</v>
          </cell>
          <cell r="BP18">
            <v>28</v>
          </cell>
          <cell r="BQ18">
            <v>143</v>
          </cell>
          <cell r="BR18">
            <v>15.5</v>
          </cell>
          <cell r="BS18">
            <v>27</v>
          </cell>
          <cell r="BT18">
            <v>143</v>
          </cell>
          <cell r="BU18">
            <v>35.6</v>
          </cell>
          <cell r="BV18">
            <v>15</v>
          </cell>
          <cell r="BW18">
            <v>66.33</v>
          </cell>
          <cell r="BX18">
            <v>61.38</v>
          </cell>
          <cell r="BY18">
            <v>2.85</v>
          </cell>
          <cell r="BZ18">
            <v>2.1</v>
          </cell>
          <cell r="CA18">
            <v>123.37</v>
          </cell>
          <cell r="CB18">
            <v>624.4</v>
          </cell>
          <cell r="CC18">
            <v>575</v>
          </cell>
          <cell r="CD18">
            <v>49.4</v>
          </cell>
          <cell r="CE18">
            <v>342</v>
          </cell>
          <cell r="CF18">
            <v>13</v>
          </cell>
          <cell r="CG18">
            <v>18.7</v>
          </cell>
          <cell r="CH18">
            <v>536</v>
          </cell>
          <cell r="CI18">
            <v>31</v>
          </cell>
          <cell r="CJ18">
            <v>381</v>
          </cell>
          <cell r="CK18">
            <v>9</v>
          </cell>
          <cell r="CL18">
            <v>650</v>
          </cell>
          <cell r="CM18">
            <v>635.05999999999995</v>
          </cell>
          <cell r="CN18">
            <v>414.46</v>
          </cell>
          <cell r="CO18">
            <v>3.6</v>
          </cell>
          <cell r="CP18">
            <v>217</v>
          </cell>
          <cell r="CQ18">
            <v>61</v>
          </cell>
          <cell r="CR18">
            <v>656</v>
          </cell>
          <cell r="CS18">
            <v>81.23</v>
          </cell>
          <cell r="CT18">
            <v>14</v>
          </cell>
          <cell r="CU18">
            <v>11.5</v>
          </cell>
          <cell r="CV18">
            <v>685</v>
          </cell>
          <cell r="CW18">
            <v>49.16</v>
          </cell>
          <cell r="CX18">
            <v>147.24</v>
          </cell>
          <cell r="CY18">
            <v>29.91</v>
          </cell>
        </row>
        <row r="19">
          <cell r="A19" t="str">
            <v>Urban service area</v>
          </cell>
          <cell r="B19" t="str">
            <v>AREAURB</v>
          </cell>
          <cell r="C19">
            <v>2002</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0</v>
          </cell>
          <cell r="S19">
            <v>0</v>
          </cell>
          <cell r="T19">
            <v>0</v>
          </cell>
          <cell r="U19">
            <v>0</v>
          </cell>
          <cell r="V19">
            <v>73</v>
          </cell>
          <cell r="W19">
            <v>38</v>
          </cell>
          <cell r="X19">
            <v>0</v>
          </cell>
          <cell r="Y19">
            <v>133</v>
          </cell>
          <cell r="Z19">
            <v>0</v>
          </cell>
          <cell r="AA19">
            <v>0</v>
          </cell>
          <cell r="AB19">
            <v>12987</v>
          </cell>
          <cell r="AC19">
            <v>120.75</v>
          </cell>
          <cell r="AD19">
            <v>120.75</v>
          </cell>
          <cell r="AE19">
            <v>0</v>
          </cell>
          <cell r="AF19">
            <v>45.42</v>
          </cell>
          <cell r="AG19">
            <v>0</v>
          </cell>
          <cell r="AH19">
            <v>0</v>
          </cell>
          <cell r="AI19">
            <v>0</v>
          </cell>
          <cell r="AJ19">
            <v>1225</v>
          </cell>
          <cell r="AK19">
            <v>331.8</v>
          </cell>
          <cell r="AL19">
            <v>5.15</v>
          </cell>
          <cell r="AM19">
            <v>115</v>
          </cell>
          <cell r="AN19">
            <v>88</v>
          </cell>
          <cell r="AO19">
            <v>27</v>
          </cell>
          <cell r="AP19">
            <v>0</v>
          </cell>
          <cell r="AQ19">
            <v>0</v>
          </cell>
          <cell r="AR19">
            <v>0</v>
          </cell>
          <cell r="AS19">
            <v>650000</v>
          </cell>
          <cell r="AT19">
            <v>650000</v>
          </cell>
          <cell r="AU19">
            <v>0</v>
          </cell>
          <cell r="AV19">
            <v>600</v>
          </cell>
          <cell r="AW19">
            <v>234</v>
          </cell>
          <cell r="AX19">
            <v>0</v>
          </cell>
          <cell r="AY19">
            <v>0</v>
          </cell>
          <cell r="AZ19">
            <v>280</v>
          </cell>
          <cell r="BA19">
            <v>0</v>
          </cell>
          <cell r="BB19">
            <v>57</v>
          </cell>
          <cell r="BC19">
            <v>258.5</v>
          </cell>
          <cell r="BD19">
            <v>0</v>
          </cell>
          <cell r="BE19">
            <v>0</v>
          </cell>
          <cell r="BF19">
            <v>372.4</v>
          </cell>
          <cell r="BG19">
            <v>22</v>
          </cell>
          <cell r="BH19">
            <v>0</v>
          </cell>
          <cell r="BI19">
            <v>22</v>
          </cell>
          <cell r="BJ19">
            <v>567.79999999999995</v>
          </cell>
          <cell r="BK19">
            <v>0</v>
          </cell>
          <cell r="BL19">
            <v>567.79999999999995</v>
          </cell>
          <cell r="BM19">
            <v>111</v>
          </cell>
          <cell r="BN19">
            <v>549</v>
          </cell>
          <cell r="BO19">
            <v>279</v>
          </cell>
          <cell r="BP19">
            <v>0</v>
          </cell>
          <cell r="BQ19">
            <v>41</v>
          </cell>
          <cell r="BR19">
            <v>0</v>
          </cell>
          <cell r="BS19">
            <v>0</v>
          </cell>
          <cell r="BT19">
            <v>74.36</v>
          </cell>
          <cell r="BU19">
            <v>0</v>
          </cell>
          <cell r="BV19">
            <v>0</v>
          </cell>
          <cell r="BW19">
            <v>0</v>
          </cell>
          <cell r="BX19">
            <v>0</v>
          </cell>
          <cell r="BY19">
            <v>0</v>
          </cell>
          <cell r="BZ19">
            <v>0</v>
          </cell>
          <cell r="CA19">
            <v>102.94</v>
          </cell>
          <cell r="CB19">
            <v>189.1</v>
          </cell>
          <cell r="CC19">
            <v>165</v>
          </cell>
          <cell r="CD19">
            <v>24.1</v>
          </cell>
          <cell r="CE19">
            <v>284</v>
          </cell>
          <cell r="CF19">
            <v>0</v>
          </cell>
          <cell r="CG19">
            <v>7.2</v>
          </cell>
          <cell r="CH19">
            <v>530</v>
          </cell>
          <cell r="CI19">
            <v>0</v>
          </cell>
          <cell r="CJ19">
            <v>326</v>
          </cell>
          <cell r="CK19">
            <v>1</v>
          </cell>
          <cell r="CL19">
            <v>0</v>
          </cell>
          <cell r="CM19">
            <v>382</v>
          </cell>
          <cell r="CN19">
            <v>175</v>
          </cell>
          <cell r="CO19">
            <v>0</v>
          </cell>
          <cell r="CP19">
            <v>207</v>
          </cell>
          <cell r="CQ19">
            <v>8</v>
          </cell>
          <cell r="CR19">
            <v>590</v>
          </cell>
          <cell r="CS19">
            <v>0</v>
          </cell>
          <cell r="CT19">
            <v>0</v>
          </cell>
          <cell r="CU19">
            <v>0</v>
          </cell>
          <cell r="CV19">
            <v>677.5</v>
          </cell>
          <cell r="CW19">
            <v>0</v>
          </cell>
          <cell r="CX19">
            <v>76.03</v>
          </cell>
          <cell r="CY19">
            <v>0</v>
          </cell>
        </row>
        <row r="20">
          <cell r="A20" t="str">
            <v>Rural service area</v>
          </cell>
          <cell r="B20" t="str">
            <v>AREARUR</v>
          </cell>
          <cell r="C20">
            <v>2002</v>
          </cell>
          <cell r="D20">
            <v>380.25</v>
          </cell>
          <cell r="E20">
            <v>363</v>
          </cell>
          <cell r="F20">
            <v>54</v>
          </cell>
          <cell r="G20">
            <v>17.5</v>
          </cell>
          <cell r="H20">
            <v>74</v>
          </cell>
          <cell r="I20">
            <v>97.77</v>
          </cell>
          <cell r="J20">
            <v>90</v>
          </cell>
          <cell r="K20">
            <v>10.77</v>
          </cell>
          <cell r="L20">
            <v>2</v>
          </cell>
          <cell r="M20">
            <v>70</v>
          </cell>
          <cell r="N20">
            <v>4.78</v>
          </cell>
          <cell r="O20">
            <v>57.8</v>
          </cell>
          <cell r="P20">
            <v>5</v>
          </cell>
          <cell r="Q20">
            <v>2</v>
          </cell>
          <cell r="R20">
            <v>21.26</v>
          </cell>
          <cell r="S20">
            <v>287</v>
          </cell>
          <cell r="T20">
            <v>120</v>
          </cell>
          <cell r="U20">
            <v>46.96</v>
          </cell>
          <cell r="V20">
            <v>26</v>
          </cell>
          <cell r="W20">
            <v>66.56</v>
          </cell>
          <cell r="X20">
            <v>44.66</v>
          </cell>
          <cell r="Y20">
            <v>35</v>
          </cell>
          <cell r="Z20">
            <v>26.5</v>
          </cell>
          <cell r="AA20">
            <v>1.5</v>
          </cell>
          <cell r="AB20">
            <v>613</v>
          </cell>
          <cell r="AC20">
            <v>290.75</v>
          </cell>
          <cell r="AD20">
            <v>281.75</v>
          </cell>
          <cell r="AE20">
            <v>9</v>
          </cell>
          <cell r="AF20">
            <v>22.7</v>
          </cell>
          <cell r="AG20">
            <v>93</v>
          </cell>
          <cell r="AH20">
            <v>89</v>
          </cell>
          <cell r="AI20">
            <v>4</v>
          </cell>
          <cell r="AJ20">
            <v>50</v>
          </cell>
          <cell r="AK20">
            <v>22.7</v>
          </cell>
          <cell r="AL20">
            <v>88.33</v>
          </cell>
          <cell r="AM20">
            <v>311</v>
          </cell>
          <cell r="AN20">
            <v>243</v>
          </cell>
          <cell r="AO20">
            <v>68</v>
          </cell>
          <cell r="AP20">
            <v>9.76</v>
          </cell>
          <cell r="AQ20">
            <v>8.6</v>
          </cell>
          <cell r="AR20">
            <v>295</v>
          </cell>
          <cell r="AS20">
            <v>6.2</v>
          </cell>
          <cell r="AT20">
            <v>0</v>
          </cell>
          <cell r="AU20">
            <v>6.2</v>
          </cell>
          <cell r="AV20">
            <v>454</v>
          </cell>
          <cell r="AW20">
            <v>58</v>
          </cell>
          <cell r="AX20">
            <v>24.8</v>
          </cell>
          <cell r="AY20">
            <v>31.62</v>
          </cell>
          <cell r="AZ20">
            <v>124</v>
          </cell>
          <cell r="BA20">
            <v>27.33</v>
          </cell>
          <cell r="BB20">
            <v>20.399999999999999</v>
          </cell>
          <cell r="BC20">
            <v>163</v>
          </cell>
          <cell r="BD20">
            <v>21.86</v>
          </cell>
          <cell r="BE20">
            <v>20</v>
          </cell>
          <cell r="BF20">
            <v>8.6</v>
          </cell>
          <cell r="BG20">
            <v>66</v>
          </cell>
          <cell r="BH20">
            <v>41</v>
          </cell>
          <cell r="BI20">
            <v>25</v>
          </cell>
          <cell r="BJ20">
            <v>219.27</v>
          </cell>
          <cell r="BK20">
            <v>207</v>
          </cell>
          <cell r="BL20">
            <v>12.27</v>
          </cell>
          <cell r="BM20">
            <v>14</v>
          </cell>
          <cell r="BN20">
            <v>144</v>
          </cell>
          <cell r="BO20">
            <v>51</v>
          </cell>
          <cell r="BP20">
            <v>28</v>
          </cell>
          <cell r="BQ20">
            <v>102</v>
          </cell>
          <cell r="BR20">
            <v>15.5</v>
          </cell>
          <cell r="BS20">
            <v>27</v>
          </cell>
          <cell r="BT20">
            <v>68.64</v>
          </cell>
          <cell r="BU20">
            <v>35.6</v>
          </cell>
          <cell r="BV20">
            <v>15</v>
          </cell>
          <cell r="BW20">
            <v>66.33</v>
          </cell>
          <cell r="BX20">
            <v>61.38</v>
          </cell>
          <cell r="BY20">
            <v>2.85</v>
          </cell>
          <cell r="BZ20">
            <v>2.1</v>
          </cell>
          <cell r="CA20">
            <v>20.43</v>
          </cell>
          <cell r="CB20">
            <v>435.3</v>
          </cell>
          <cell r="CC20">
            <v>410</v>
          </cell>
          <cell r="CD20">
            <v>25.3</v>
          </cell>
          <cell r="CE20">
            <v>58</v>
          </cell>
          <cell r="CF20">
            <v>13</v>
          </cell>
          <cell r="CG20">
            <v>11.5</v>
          </cell>
          <cell r="CH20">
            <v>6</v>
          </cell>
          <cell r="CI20">
            <v>31</v>
          </cell>
          <cell r="CJ20">
            <v>55</v>
          </cell>
          <cell r="CK20">
            <v>8</v>
          </cell>
          <cell r="CL20">
            <v>650</v>
          </cell>
          <cell r="CM20">
            <v>253.06</v>
          </cell>
          <cell r="CN20">
            <v>239.46</v>
          </cell>
          <cell r="CO20">
            <v>3.6</v>
          </cell>
          <cell r="CP20">
            <v>10</v>
          </cell>
          <cell r="CQ20">
            <v>53</v>
          </cell>
          <cell r="CR20">
            <v>66</v>
          </cell>
          <cell r="CS20">
            <v>81.23</v>
          </cell>
          <cell r="CT20">
            <v>14</v>
          </cell>
          <cell r="CU20">
            <v>11.5</v>
          </cell>
          <cell r="CV20">
            <v>7.5</v>
          </cell>
          <cell r="CW20">
            <v>49.16</v>
          </cell>
          <cell r="CX20">
            <v>71.209999999999994</v>
          </cell>
          <cell r="CY20">
            <v>29.91</v>
          </cell>
        </row>
        <row r="21">
          <cell r="A21" t="str">
            <v>Service area population</v>
          </cell>
          <cell r="B21" t="str">
            <v>POP</v>
          </cell>
          <cell r="C21">
            <v>2002</v>
          </cell>
          <cell r="D21">
            <v>3000</v>
          </cell>
          <cell r="E21">
            <v>168549</v>
          </cell>
          <cell r="F21">
            <v>83178</v>
          </cell>
          <cell r="G21">
            <v>23600</v>
          </cell>
          <cell r="H21">
            <v>88300</v>
          </cell>
          <cell r="I21">
            <v>152936</v>
          </cell>
          <cell r="J21">
            <v>124000</v>
          </cell>
          <cell r="K21">
            <v>17500</v>
          </cell>
          <cell r="L21">
            <v>3000</v>
          </cell>
          <cell r="M21">
            <v>94769</v>
          </cell>
          <cell r="N21">
            <v>3100</v>
          </cell>
          <cell r="O21">
            <v>21100</v>
          </cell>
          <cell r="P21">
            <v>3800</v>
          </cell>
          <cell r="Q21">
            <v>1315</v>
          </cell>
          <cell r="R21">
            <v>23009</v>
          </cell>
          <cell r="S21">
            <v>630000</v>
          </cell>
          <cell r="T21">
            <v>208402</v>
          </cell>
          <cell r="U21">
            <v>32542</v>
          </cell>
          <cell r="V21">
            <v>7138</v>
          </cell>
          <cell r="W21">
            <v>45649</v>
          </cell>
          <cell r="X21">
            <v>41942</v>
          </cell>
          <cell r="Y21">
            <v>27750</v>
          </cell>
          <cell r="Z21">
            <v>8790</v>
          </cell>
          <cell r="AA21">
            <v>1600</v>
          </cell>
          <cell r="AB21">
            <v>18347</v>
          </cell>
          <cell r="AC21">
            <v>103891</v>
          </cell>
          <cell r="AD21">
            <v>97200</v>
          </cell>
          <cell r="AE21">
            <v>6691</v>
          </cell>
          <cell r="AF21">
            <v>21500</v>
          </cell>
          <cell r="AG21">
            <v>109255</v>
          </cell>
          <cell r="AH21">
            <v>106033</v>
          </cell>
          <cell r="AI21">
            <v>3222</v>
          </cell>
          <cell r="AJ21">
            <v>43728</v>
          </cell>
          <cell r="AK21">
            <v>45000</v>
          </cell>
          <cell r="AL21">
            <v>5825</v>
          </cell>
          <cell r="AM21">
            <v>565918</v>
          </cell>
          <cell r="AN21">
            <v>430818</v>
          </cell>
          <cell r="AO21">
            <v>135100</v>
          </cell>
          <cell r="AP21">
            <v>2433</v>
          </cell>
          <cell r="AQ21">
            <v>10300</v>
          </cell>
          <cell r="AR21">
            <v>353000</v>
          </cell>
          <cell r="AS21">
            <v>2995200</v>
          </cell>
          <cell r="AT21">
            <v>2993000</v>
          </cell>
          <cell r="AU21">
            <v>2200</v>
          </cell>
          <cell r="AV21">
            <v>731100</v>
          </cell>
          <cell r="AW21">
            <v>28000</v>
          </cell>
          <cell r="AX21">
            <v>12000</v>
          </cell>
          <cell r="AY21">
            <v>57800</v>
          </cell>
          <cell r="AZ21">
            <v>211700</v>
          </cell>
          <cell r="BA21">
            <v>21800</v>
          </cell>
          <cell r="BB21">
            <v>19969</v>
          </cell>
          <cell r="BC21">
            <v>334000</v>
          </cell>
          <cell r="BD21">
            <v>19756</v>
          </cell>
          <cell r="BE21">
            <v>15200</v>
          </cell>
          <cell r="BF21">
            <v>43000</v>
          </cell>
          <cell r="BG21">
            <v>74967</v>
          </cell>
          <cell r="BH21">
            <v>70622</v>
          </cell>
          <cell r="BI21">
            <v>4345</v>
          </cell>
          <cell r="BJ21">
            <v>116617</v>
          </cell>
          <cell r="BK21">
            <v>76917</v>
          </cell>
          <cell r="BL21">
            <v>39700</v>
          </cell>
          <cell r="BM21">
            <v>13839</v>
          </cell>
          <cell r="BN21">
            <v>31000</v>
          </cell>
          <cell r="BO21">
            <v>53000</v>
          </cell>
          <cell r="BP21">
            <v>14000</v>
          </cell>
          <cell r="BQ21">
            <v>147633</v>
          </cell>
          <cell r="BR21">
            <v>26200</v>
          </cell>
          <cell r="BS21">
            <v>30000</v>
          </cell>
          <cell r="BT21">
            <v>143835</v>
          </cell>
          <cell r="BU21">
            <v>20200</v>
          </cell>
          <cell r="BV21">
            <v>6500</v>
          </cell>
          <cell r="BW21">
            <v>77794</v>
          </cell>
          <cell r="BX21">
            <v>74000</v>
          </cell>
          <cell r="BY21">
            <v>2445</v>
          </cell>
          <cell r="BZ21">
            <v>1349</v>
          </cell>
          <cell r="CA21">
            <v>18450</v>
          </cell>
          <cell r="CB21">
            <v>634985</v>
          </cell>
          <cell r="CC21">
            <v>591985</v>
          </cell>
          <cell r="CD21">
            <v>43000</v>
          </cell>
          <cell r="CE21">
            <v>78000</v>
          </cell>
          <cell r="CF21">
            <v>8125</v>
          </cell>
          <cell r="CG21">
            <v>9821</v>
          </cell>
          <cell r="CH21">
            <v>5336</v>
          </cell>
          <cell r="CI21">
            <v>32000</v>
          </cell>
          <cell r="CJ21">
            <v>109615</v>
          </cell>
          <cell r="CK21">
            <v>15140</v>
          </cell>
          <cell r="CL21">
            <v>2500000</v>
          </cell>
          <cell r="CM21">
            <v>282968</v>
          </cell>
          <cell r="CN21">
            <v>264356</v>
          </cell>
          <cell r="CO21">
            <v>7500</v>
          </cell>
          <cell r="CP21">
            <v>11112</v>
          </cell>
          <cell r="CQ21">
            <v>15000</v>
          </cell>
          <cell r="CR21">
            <v>132360</v>
          </cell>
          <cell r="CS21">
            <v>48411</v>
          </cell>
          <cell r="CT21">
            <v>6400</v>
          </cell>
          <cell r="CU21">
            <v>7500</v>
          </cell>
          <cell r="CV21">
            <v>3950</v>
          </cell>
          <cell r="CW21">
            <v>40672</v>
          </cell>
          <cell r="CX21">
            <v>92000</v>
          </cell>
          <cell r="CY21">
            <v>33061</v>
          </cell>
        </row>
        <row r="22">
          <cell r="A22" t="str">
            <v>Municipal population</v>
          </cell>
          <cell r="B22" t="str">
            <v>POPCITY</v>
          </cell>
          <cell r="C22">
            <v>2002</v>
          </cell>
          <cell r="D22">
            <v>3000</v>
          </cell>
          <cell r="E22">
            <v>183150</v>
          </cell>
          <cell r="F22">
            <v>85488</v>
          </cell>
          <cell r="G22">
            <v>30000</v>
          </cell>
          <cell r="H22">
            <v>88300</v>
          </cell>
          <cell r="I22">
            <v>152936</v>
          </cell>
          <cell r="J22">
            <v>124000</v>
          </cell>
          <cell r="K22">
            <v>25000</v>
          </cell>
          <cell r="L22">
            <v>3000</v>
          </cell>
          <cell r="M22">
            <v>107341</v>
          </cell>
          <cell r="N22">
            <v>3100</v>
          </cell>
          <cell r="O22">
            <v>21100</v>
          </cell>
          <cell r="P22">
            <v>12500</v>
          </cell>
          <cell r="Q22">
            <v>4210</v>
          </cell>
          <cell r="R22">
            <v>65299</v>
          </cell>
          <cell r="S22">
            <v>630000</v>
          </cell>
          <cell r="T22">
            <v>208402</v>
          </cell>
          <cell r="U22">
            <v>62569</v>
          </cell>
          <cell r="V22">
            <v>8700</v>
          </cell>
          <cell r="W22">
            <v>97125</v>
          </cell>
          <cell r="X22">
            <v>41942</v>
          </cell>
          <cell r="Y22">
            <v>27750</v>
          </cell>
          <cell r="Z22">
            <v>8790</v>
          </cell>
          <cell r="AA22">
            <v>1600</v>
          </cell>
          <cell r="AB22">
            <v>4090</v>
          </cell>
          <cell r="AC22">
            <v>175009</v>
          </cell>
          <cell r="AD22">
            <v>162000</v>
          </cell>
          <cell r="AE22">
            <v>13009</v>
          </cell>
          <cell r="AF22">
            <v>21500</v>
          </cell>
          <cell r="AG22">
            <v>109255</v>
          </cell>
          <cell r="AH22">
            <v>106033</v>
          </cell>
          <cell r="AI22">
            <v>3222</v>
          </cell>
          <cell r="AJ22">
            <v>43728</v>
          </cell>
          <cell r="AK22">
            <v>45000</v>
          </cell>
          <cell r="AL22">
            <v>5825</v>
          </cell>
          <cell r="AM22">
            <v>624016</v>
          </cell>
          <cell r="AN22">
            <v>488916</v>
          </cell>
          <cell r="AO22">
            <v>135100</v>
          </cell>
          <cell r="AP22">
            <v>2433</v>
          </cell>
          <cell r="AQ22">
            <v>10300</v>
          </cell>
          <cell r="AR22">
            <v>353000</v>
          </cell>
          <cell r="AS22">
            <v>2995200</v>
          </cell>
          <cell r="AT22">
            <v>2993000</v>
          </cell>
          <cell r="AU22">
            <v>2200</v>
          </cell>
          <cell r="AV22">
            <v>795000</v>
          </cell>
          <cell r="AW22">
            <v>28000</v>
          </cell>
          <cell r="AX22">
            <v>16500</v>
          </cell>
          <cell r="AY22">
            <v>118000</v>
          </cell>
          <cell r="AZ22">
            <v>211700</v>
          </cell>
          <cell r="BA22">
            <v>21800</v>
          </cell>
          <cell r="BB22">
            <v>32350</v>
          </cell>
          <cell r="BC22">
            <v>334000</v>
          </cell>
          <cell r="BD22">
            <v>24756</v>
          </cell>
          <cell r="BE22">
            <v>16200</v>
          </cell>
          <cell r="BF22">
            <v>43000</v>
          </cell>
          <cell r="BG22">
            <v>80757</v>
          </cell>
          <cell r="BH22">
            <v>70622</v>
          </cell>
          <cell r="BI22">
            <v>10135</v>
          </cell>
          <cell r="BJ22">
            <v>124317</v>
          </cell>
          <cell r="BK22">
            <v>76917</v>
          </cell>
          <cell r="BL22">
            <v>47400</v>
          </cell>
          <cell r="BM22">
            <v>13839</v>
          </cell>
          <cell r="BN22">
            <v>61447</v>
          </cell>
          <cell r="BO22">
            <v>53000</v>
          </cell>
          <cell r="BP22">
            <v>18977</v>
          </cell>
          <cell r="BQ22">
            <v>147633</v>
          </cell>
          <cell r="BR22">
            <v>26200</v>
          </cell>
          <cell r="BS22">
            <v>30000</v>
          </cell>
          <cell r="BT22">
            <v>143835</v>
          </cell>
          <cell r="BU22">
            <v>20200</v>
          </cell>
          <cell r="BV22">
            <v>6500</v>
          </cell>
          <cell r="BW22">
            <v>77794</v>
          </cell>
          <cell r="BX22">
            <v>74000</v>
          </cell>
          <cell r="BY22">
            <v>2445</v>
          </cell>
          <cell r="BZ22">
            <v>1349</v>
          </cell>
          <cell r="CA22">
            <v>18450</v>
          </cell>
          <cell r="CB22">
            <v>634985</v>
          </cell>
          <cell r="CC22">
            <v>591985</v>
          </cell>
          <cell r="CD22">
            <v>43000</v>
          </cell>
          <cell r="CE22">
            <v>75000</v>
          </cell>
          <cell r="CF22">
            <v>8125</v>
          </cell>
          <cell r="CG22">
            <v>16603</v>
          </cell>
          <cell r="CH22">
            <v>5336</v>
          </cell>
          <cell r="CI22">
            <v>32000</v>
          </cell>
          <cell r="CJ22">
            <v>109016</v>
          </cell>
          <cell r="CK22">
            <v>15000</v>
          </cell>
          <cell r="CL22">
            <v>2500000</v>
          </cell>
          <cell r="CM22">
            <v>370964</v>
          </cell>
          <cell r="CN22">
            <v>324206</v>
          </cell>
          <cell r="CO22">
            <v>20600</v>
          </cell>
          <cell r="CP22">
            <v>26158</v>
          </cell>
          <cell r="CQ22">
            <v>15000</v>
          </cell>
          <cell r="CR22">
            <v>132360</v>
          </cell>
          <cell r="CS22">
            <v>48411</v>
          </cell>
          <cell r="CT22">
            <v>11000</v>
          </cell>
          <cell r="CU22">
            <v>7500</v>
          </cell>
          <cell r="CV22">
            <v>8903</v>
          </cell>
          <cell r="CW22">
            <v>65500</v>
          </cell>
          <cell r="CX22">
            <v>92000</v>
          </cell>
          <cell r="CY22">
            <v>33061</v>
          </cell>
        </row>
        <row r="23">
          <cell r="A23" t="str">
            <v>No seasonal occupacy customers</v>
          </cell>
          <cell r="B23" t="str">
            <v>YNSUM</v>
          </cell>
          <cell r="C23">
            <v>2002</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0</v>
          </cell>
          <cell r="S23">
            <v>0</v>
          </cell>
          <cell r="T23">
            <v>0</v>
          </cell>
          <cell r="U23">
            <v>235</v>
          </cell>
          <cell r="V23">
            <v>65</v>
          </cell>
          <cell r="W23">
            <v>0</v>
          </cell>
          <cell r="X23">
            <v>0</v>
          </cell>
          <cell r="Y23">
            <v>1220</v>
          </cell>
          <cell r="Z23">
            <v>9</v>
          </cell>
          <cell r="AA23">
            <v>0</v>
          </cell>
          <cell r="AB23">
            <v>3603</v>
          </cell>
          <cell r="AC23">
            <v>176</v>
          </cell>
          <cell r="AD23">
            <v>171</v>
          </cell>
          <cell r="AE23">
            <v>5</v>
          </cell>
          <cell r="AF23">
            <v>0</v>
          </cell>
          <cell r="AG23">
            <v>0</v>
          </cell>
          <cell r="AH23">
            <v>0</v>
          </cell>
          <cell r="AI23">
            <v>0</v>
          </cell>
          <cell r="AJ23">
            <v>5000</v>
          </cell>
          <cell r="AK23">
            <v>0</v>
          </cell>
          <cell r="AL23">
            <v>0</v>
          </cell>
          <cell r="AM23">
            <v>58</v>
          </cell>
          <cell r="AN23">
            <v>0</v>
          </cell>
          <cell r="AO23">
            <v>58</v>
          </cell>
          <cell r="AP23">
            <v>0</v>
          </cell>
          <cell r="AQ23">
            <v>0</v>
          </cell>
          <cell r="AR23">
            <v>0</v>
          </cell>
          <cell r="AS23">
            <v>155836</v>
          </cell>
          <cell r="AT23">
            <v>155836</v>
          </cell>
          <cell r="AU23">
            <v>0</v>
          </cell>
          <cell r="AV23">
            <v>0</v>
          </cell>
          <cell r="AW23">
            <v>902</v>
          </cell>
          <cell r="AX23">
            <v>200</v>
          </cell>
          <cell r="AY23">
            <v>0</v>
          </cell>
          <cell r="AZ23">
            <v>0</v>
          </cell>
          <cell r="BA23">
            <v>0</v>
          </cell>
          <cell r="BB23">
            <v>50</v>
          </cell>
          <cell r="BC23">
            <v>0</v>
          </cell>
          <cell r="BD23">
            <v>0</v>
          </cell>
          <cell r="BE23">
            <v>0</v>
          </cell>
          <cell r="BF23">
            <v>0</v>
          </cell>
          <cell r="BG23">
            <v>521</v>
          </cell>
          <cell r="BH23">
            <v>0</v>
          </cell>
          <cell r="BI23">
            <v>521</v>
          </cell>
          <cell r="BJ23">
            <v>0</v>
          </cell>
          <cell r="BK23">
            <v>0</v>
          </cell>
          <cell r="BL23">
            <v>0</v>
          </cell>
          <cell r="BM23">
            <v>210</v>
          </cell>
          <cell r="BN23">
            <v>0</v>
          </cell>
          <cell r="BO23">
            <v>0</v>
          </cell>
          <cell r="BP23">
            <v>0</v>
          </cell>
          <cell r="BQ23">
            <v>0</v>
          </cell>
          <cell r="BR23">
            <v>0</v>
          </cell>
          <cell r="BS23">
            <v>0</v>
          </cell>
          <cell r="BT23">
            <v>0</v>
          </cell>
          <cell r="BU23">
            <v>0</v>
          </cell>
          <cell r="BV23">
            <v>14</v>
          </cell>
          <cell r="BW23">
            <v>0</v>
          </cell>
          <cell r="BX23">
            <v>0</v>
          </cell>
          <cell r="BY23">
            <v>0</v>
          </cell>
          <cell r="BZ23">
            <v>0</v>
          </cell>
          <cell r="CA23">
            <v>0</v>
          </cell>
          <cell r="CB23">
            <v>0</v>
          </cell>
          <cell r="CC23">
            <v>0</v>
          </cell>
          <cell r="CD23">
            <v>0</v>
          </cell>
          <cell r="CE23">
            <v>100</v>
          </cell>
          <cell r="CF23">
            <v>0</v>
          </cell>
          <cell r="CG23">
            <v>0</v>
          </cell>
          <cell r="CH23">
            <v>112</v>
          </cell>
          <cell r="CI23">
            <v>0</v>
          </cell>
          <cell r="CJ23">
            <v>0</v>
          </cell>
          <cell r="CK23">
            <v>0</v>
          </cell>
          <cell r="CL23">
            <v>0</v>
          </cell>
          <cell r="CM23">
            <v>1608</v>
          </cell>
          <cell r="CN23">
            <v>0</v>
          </cell>
          <cell r="CO23">
            <v>0</v>
          </cell>
          <cell r="CP23">
            <v>1608</v>
          </cell>
          <cell r="CQ23">
            <v>2000</v>
          </cell>
          <cell r="CR23">
            <v>0</v>
          </cell>
          <cell r="CS23">
            <v>0</v>
          </cell>
          <cell r="CT23">
            <v>0</v>
          </cell>
          <cell r="CU23">
            <v>0</v>
          </cell>
          <cell r="CV23">
            <v>0</v>
          </cell>
          <cell r="CW23">
            <v>659</v>
          </cell>
          <cell r="CX23">
            <v>0</v>
          </cell>
          <cell r="CY23">
            <v>0</v>
          </cell>
        </row>
        <row r="24">
          <cell r="A24" t="str">
            <v>Utility winter max peak load</v>
          </cell>
          <cell r="B24" t="str">
            <v>PEAKW</v>
          </cell>
          <cell r="C24">
            <v>2002</v>
          </cell>
          <cell r="D24">
            <v>8622</v>
          </cell>
          <cell r="E24">
            <v>222560</v>
          </cell>
          <cell r="F24">
            <v>174559</v>
          </cell>
          <cell r="G24">
            <v>59893</v>
          </cell>
          <cell r="H24">
            <v>145652</v>
          </cell>
          <cell r="I24">
            <v>285277</v>
          </cell>
          <cell r="J24">
            <v>238272</v>
          </cell>
          <cell r="K24">
            <v>27558</v>
          </cell>
          <cell r="L24">
            <v>7172</v>
          </cell>
          <cell r="M24">
            <v>151782</v>
          </cell>
          <cell r="N24">
            <v>5798</v>
          </cell>
          <cell r="O24">
            <v>62919</v>
          </cell>
          <cell r="P24">
            <v>5731</v>
          </cell>
          <cell r="Q24">
            <v>8070</v>
          </cell>
          <cell r="R24">
            <v>29248</v>
          </cell>
          <cell r="S24">
            <v>1214606</v>
          </cell>
          <cell r="T24">
            <v>507</v>
          </cell>
          <cell r="U24">
            <v>64822</v>
          </cell>
          <cell r="V24">
            <v>13002</v>
          </cell>
          <cell r="W24">
            <v>101188</v>
          </cell>
          <cell r="X24">
            <v>94884</v>
          </cell>
          <cell r="Y24">
            <v>46610</v>
          </cell>
          <cell r="Z24">
            <v>15900</v>
          </cell>
          <cell r="AA24">
            <v>12276</v>
          </cell>
          <cell r="AB24">
            <v>47365</v>
          </cell>
          <cell r="AC24">
            <v>175607</v>
          </cell>
          <cell r="AD24">
            <v>166705</v>
          </cell>
          <cell r="AE24">
            <v>8902</v>
          </cell>
          <cell r="AF24">
            <v>27655</v>
          </cell>
          <cell r="AG24">
            <v>236957</v>
          </cell>
          <cell r="AH24">
            <v>233758</v>
          </cell>
          <cell r="AI24">
            <v>3199</v>
          </cell>
          <cell r="AJ24">
            <v>72096</v>
          </cell>
          <cell r="AK24">
            <v>85058</v>
          </cell>
          <cell r="AL24">
            <v>20777</v>
          </cell>
          <cell r="AM24">
            <v>1055744.1000000001</v>
          </cell>
          <cell r="AN24">
            <v>823469.1</v>
          </cell>
          <cell r="AO24">
            <v>232275</v>
          </cell>
          <cell r="AP24">
            <v>5905</v>
          </cell>
          <cell r="AQ24">
            <v>33790</v>
          </cell>
          <cell r="AR24">
            <v>540000</v>
          </cell>
          <cell r="AS24">
            <v>4294344</v>
          </cell>
          <cell r="AT24">
            <v>4290000</v>
          </cell>
          <cell r="AU24">
            <v>4344</v>
          </cell>
          <cell r="AV24">
            <v>1269578</v>
          </cell>
          <cell r="AW24">
            <v>66369</v>
          </cell>
          <cell r="AX24">
            <v>20644</v>
          </cell>
          <cell r="AY24">
            <v>128652</v>
          </cell>
          <cell r="AZ24">
            <v>325546</v>
          </cell>
          <cell r="BA24">
            <v>43222</v>
          </cell>
          <cell r="BB24">
            <v>39788</v>
          </cell>
          <cell r="BC24">
            <v>523139</v>
          </cell>
          <cell r="BD24">
            <v>32690</v>
          </cell>
          <cell r="BE24">
            <v>37705</v>
          </cell>
          <cell r="BF24">
            <v>93069</v>
          </cell>
          <cell r="BG24">
            <v>116690</v>
          </cell>
          <cell r="BH24">
            <v>108003</v>
          </cell>
          <cell r="BI24">
            <v>8687</v>
          </cell>
          <cell r="BJ24">
            <v>178785</v>
          </cell>
          <cell r="BK24">
            <v>122200</v>
          </cell>
          <cell r="BL24">
            <v>56585</v>
          </cell>
          <cell r="BM24">
            <v>28098</v>
          </cell>
          <cell r="BN24">
            <v>60282</v>
          </cell>
          <cell r="BO24">
            <v>119700</v>
          </cell>
          <cell r="BP24">
            <v>24769</v>
          </cell>
          <cell r="BQ24">
            <v>290267</v>
          </cell>
          <cell r="BR24">
            <v>40771</v>
          </cell>
          <cell r="BS24">
            <v>58480</v>
          </cell>
          <cell r="BT24">
            <v>210000</v>
          </cell>
          <cell r="BU24">
            <v>37988</v>
          </cell>
          <cell r="BV24">
            <v>19182</v>
          </cell>
          <cell r="BW24">
            <v>137199</v>
          </cell>
          <cell r="BX24">
            <v>128685</v>
          </cell>
          <cell r="BY24">
            <v>5953</v>
          </cell>
          <cell r="BZ24">
            <v>2561</v>
          </cell>
          <cell r="CA24">
            <v>35000</v>
          </cell>
          <cell r="CB24">
            <v>1433988</v>
          </cell>
          <cell r="CC24">
            <v>1017956</v>
          </cell>
          <cell r="CD24">
            <v>416032</v>
          </cell>
          <cell r="CE24">
            <v>138</v>
          </cell>
          <cell r="CF24">
            <v>17140</v>
          </cell>
          <cell r="CG24">
            <v>23030</v>
          </cell>
          <cell r="CH24">
            <v>18850</v>
          </cell>
          <cell r="CI24">
            <v>58183</v>
          </cell>
          <cell r="CJ24">
            <v>189837</v>
          </cell>
          <cell r="CK24">
            <v>37004</v>
          </cell>
          <cell r="CL24">
            <v>4204000</v>
          </cell>
          <cell r="CM24">
            <v>399031</v>
          </cell>
          <cell r="CN24">
            <v>390030</v>
          </cell>
          <cell r="CO24">
            <v>9000</v>
          </cell>
          <cell r="CP24">
            <v>1</v>
          </cell>
          <cell r="CQ24">
            <v>19392</v>
          </cell>
          <cell r="CR24">
            <v>213093</v>
          </cell>
          <cell r="CS24">
            <v>93760</v>
          </cell>
          <cell r="CT24">
            <v>15528</v>
          </cell>
          <cell r="CU24">
            <v>24</v>
          </cell>
          <cell r="CV24">
            <v>11233</v>
          </cell>
          <cell r="CW24">
            <v>0</v>
          </cell>
          <cell r="CX24">
            <v>130557</v>
          </cell>
          <cell r="CY24">
            <v>70698</v>
          </cell>
        </row>
        <row r="25">
          <cell r="A25" t="str">
            <v>Utility summer max peak load</v>
          </cell>
          <cell r="B25" t="str">
            <v>PEAKS</v>
          </cell>
          <cell r="C25">
            <v>2002</v>
          </cell>
          <cell r="D25">
            <v>8358</v>
          </cell>
          <cell r="E25">
            <v>290733</v>
          </cell>
          <cell r="F25">
            <v>213493</v>
          </cell>
          <cell r="G25">
            <v>69987</v>
          </cell>
          <cell r="H25">
            <v>178399</v>
          </cell>
          <cell r="I25">
            <v>358237</v>
          </cell>
          <cell r="J25">
            <v>280311</v>
          </cell>
          <cell r="K25">
            <v>26150</v>
          </cell>
          <cell r="L25">
            <v>7234</v>
          </cell>
          <cell r="M25">
            <v>187436</v>
          </cell>
          <cell r="N25">
            <v>6006</v>
          </cell>
          <cell r="O25">
            <v>56946</v>
          </cell>
          <cell r="P25">
            <v>4333</v>
          </cell>
          <cell r="Q25">
            <v>8548</v>
          </cell>
          <cell r="R25">
            <v>355729</v>
          </cell>
          <cell r="S25">
            <v>1501741</v>
          </cell>
          <cell r="T25">
            <v>640</v>
          </cell>
          <cell r="U25">
            <v>65591</v>
          </cell>
          <cell r="V25">
            <v>11755</v>
          </cell>
          <cell r="W25">
            <v>136195</v>
          </cell>
          <cell r="X25">
            <v>108780</v>
          </cell>
          <cell r="Y25">
            <v>55790</v>
          </cell>
          <cell r="Z25">
            <v>13335</v>
          </cell>
          <cell r="AA25">
            <v>8863</v>
          </cell>
          <cell r="AB25">
            <v>35439</v>
          </cell>
          <cell r="AC25">
            <v>141910</v>
          </cell>
          <cell r="AD25">
            <v>130362</v>
          </cell>
          <cell r="AE25">
            <v>11548</v>
          </cell>
          <cell r="AF25">
            <v>36517</v>
          </cell>
          <cell r="AG25">
            <v>264088</v>
          </cell>
          <cell r="AH25">
            <v>260960</v>
          </cell>
          <cell r="AI25">
            <v>3128</v>
          </cell>
          <cell r="AJ25">
            <v>88607</v>
          </cell>
          <cell r="AK25">
            <v>73588</v>
          </cell>
          <cell r="AL25">
            <v>18647</v>
          </cell>
          <cell r="AM25">
            <v>1318006.26</v>
          </cell>
          <cell r="AN25">
            <v>1017089.26</v>
          </cell>
          <cell r="AO25">
            <v>300917</v>
          </cell>
          <cell r="AP25">
            <v>4029</v>
          </cell>
          <cell r="AQ25">
            <v>29000</v>
          </cell>
          <cell r="AR25">
            <v>656000</v>
          </cell>
          <cell r="AS25">
            <v>3548137</v>
          </cell>
          <cell r="AT25">
            <v>3545000</v>
          </cell>
          <cell r="AU25">
            <v>3137</v>
          </cell>
          <cell r="AV25">
            <v>1433666</v>
          </cell>
          <cell r="AW25">
            <v>66861</v>
          </cell>
          <cell r="AX25">
            <v>18060</v>
          </cell>
          <cell r="AY25">
            <v>114519</v>
          </cell>
          <cell r="AZ25">
            <v>360765</v>
          </cell>
          <cell r="BA25">
            <v>41012</v>
          </cell>
          <cell r="BB25">
            <v>33945</v>
          </cell>
          <cell r="BC25">
            <v>670874</v>
          </cell>
          <cell r="BD25">
            <v>40990</v>
          </cell>
          <cell r="BE25">
            <v>38396</v>
          </cell>
          <cell r="BF25">
            <v>100389</v>
          </cell>
          <cell r="BG25">
            <v>143570</v>
          </cell>
          <cell r="BH25">
            <v>135510</v>
          </cell>
          <cell r="BI25">
            <v>8060</v>
          </cell>
          <cell r="BJ25">
            <v>240144</v>
          </cell>
          <cell r="BK25">
            <v>171700</v>
          </cell>
          <cell r="BL25">
            <v>68444</v>
          </cell>
          <cell r="BM25">
            <v>45154</v>
          </cell>
          <cell r="BN25">
            <v>72368</v>
          </cell>
          <cell r="BO25">
            <v>86200</v>
          </cell>
          <cell r="BP25">
            <v>21520</v>
          </cell>
          <cell r="BQ25">
            <v>341368</v>
          </cell>
          <cell r="BR25">
            <v>42316</v>
          </cell>
          <cell r="BS25">
            <v>63040</v>
          </cell>
          <cell r="BT25">
            <v>222000</v>
          </cell>
          <cell r="BU25">
            <v>32303</v>
          </cell>
          <cell r="BV25">
            <v>11497</v>
          </cell>
          <cell r="BW25">
            <v>138749</v>
          </cell>
          <cell r="BX25">
            <v>131716</v>
          </cell>
          <cell r="BY25">
            <v>5080</v>
          </cell>
          <cell r="BZ25">
            <v>1953</v>
          </cell>
          <cell r="CA25">
            <v>42630</v>
          </cell>
          <cell r="CB25">
            <v>1756741</v>
          </cell>
          <cell r="CC25">
            <v>1295278</v>
          </cell>
          <cell r="CD25">
            <v>461463</v>
          </cell>
          <cell r="CE25">
            <v>111</v>
          </cell>
          <cell r="CF25">
            <v>17566</v>
          </cell>
          <cell r="CG25">
            <v>21704</v>
          </cell>
          <cell r="CH25">
            <v>15228</v>
          </cell>
          <cell r="CI25">
            <v>70523</v>
          </cell>
          <cell r="CJ25">
            <v>169159</v>
          </cell>
          <cell r="CK25">
            <v>42560</v>
          </cell>
          <cell r="CL25">
            <v>4770509</v>
          </cell>
          <cell r="CM25">
            <v>443458</v>
          </cell>
          <cell r="CN25">
            <v>435000</v>
          </cell>
          <cell r="CO25">
            <v>8457</v>
          </cell>
          <cell r="CP25">
            <v>1</v>
          </cell>
          <cell r="CQ25">
            <v>21580</v>
          </cell>
          <cell r="CR25">
            <v>242930</v>
          </cell>
          <cell r="CS25">
            <v>104299</v>
          </cell>
          <cell r="CT25">
            <v>14258</v>
          </cell>
          <cell r="CU25">
            <v>25</v>
          </cell>
          <cell r="CV25">
            <v>11157</v>
          </cell>
          <cell r="CW25">
            <v>0</v>
          </cell>
          <cell r="CX25">
            <v>157757</v>
          </cell>
          <cell r="CY25">
            <v>76634</v>
          </cell>
        </row>
        <row r="26">
          <cell r="A26" t="str">
            <v>Utility average peak load</v>
          </cell>
          <cell r="B26" t="str">
            <v>PEAKA</v>
          </cell>
          <cell r="C26">
            <v>2002</v>
          </cell>
          <cell r="D26">
            <v>7950</v>
          </cell>
          <cell r="E26">
            <v>245250</v>
          </cell>
          <cell r="F26">
            <v>177471</v>
          </cell>
          <cell r="G26">
            <v>50601</v>
          </cell>
          <cell r="H26">
            <v>144486</v>
          </cell>
          <cell r="I26">
            <v>287182</v>
          </cell>
          <cell r="J26">
            <v>243914</v>
          </cell>
          <cell r="K26">
            <v>25438</v>
          </cell>
          <cell r="L26">
            <v>5457</v>
          </cell>
          <cell r="M26">
            <v>151195</v>
          </cell>
          <cell r="N26">
            <v>5448</v>
          </cell>
          <cell r="O26">
            <v>56543</v>
          </cell>
          <cell r="P26">
            <v>4573</v>
          </cell>
          <cell r="Q26">
            <v>1454</v>
          </cell>
          <cell r="R26">
            <v>324109</v>
          </cell>
          <cell r="S26">
            <v>1239019</v>
          </cell>
          <cell r="T26">
            <v>526</v>
          </cell>
          <cell r="U26">
            <v>52716</v>
          </cell>
          <cell r="V26">
            <v>10822</v>
          </cell>
          <cell r="W26">
            <v>99338</v>
          </cell>
          <cell r="X26">
            <v>81964</v>
          </cell>
          <cell r="Y26">
            <v>46930</v>
          </cell>
          <cell r="Z26">
            <v>12900</v>
          </cell>
          <cell r="AA26">
            <v>1762</v>
          </cell>
          <cell r="AB26">
            <v>33115</v>
          </cell>
          <cell r="AC26">
            <v>145444</v>
          </cell>
          <cell r="AD26">
            <v>135922</v>
          </cell>
          <cell r="AE26">
            <v>9522</v>
          </cell>
          <cell r="AF26">
            <v>28340</v>
          </cell>
          <cell r="AG26">
            <v>238179</v>
          </cell>
          <cell r="AH26">
            <v>235360</v>
          </cell>
          <cell r="AI26">
            <v>2819</v>
          </cell>
          <cell r="AJ26">
            <v>70062</v>
          </cell>
          <cell r="AK26">
            <v>74000</v>
          </cell>
          <cell r="AL26">
            <v>18455</v>
          </cell>
          <cell r="AM26">
            <v>1137563.23</v>
          </cell>
          <cell r="AN26">
            <v>888350.23</v>
          </cell>
          <cell r="AO26">
            <v>249213</v>
          </cell>
          <cell r="AP26">
            <v>4264</v>
          </cell>
          <cell r="AQ26">
            <v>29148</v>
          </cell>
          <cell r="AR26">
            <v>551000</v>
          </cell>
          <cell r="AS26">
            <v>3635190</v>
          </cell>
          <cell r="AT26">
            <v>3632000</v>
          </cell>
          <cell r="AU26">
            <v>3190</v>
          </cell>
          <cell r="AV26">
            <v>1223234</v>
          </cell>
          <cell r="AW26">
            <v>50254</v>
          </cell>
          <cell r="AX26">
            <v>17640</v>
          </cell>
          <cell r="AY26">
            <v>113884</v>
          </cell>
          <cell r="AZ26">
            <v>319892</v>
          </cell>
          <cell r="BA26">
            <v>40396</v>
          </cell>
          <cell r="BB26">
            <v>34332</v>
          </cell>
          <cell r="BC26">
            <v>550277</v>
          </cell>
          <cell r="BD26">
            <v>44410</v>
          </cell>
          <cell r="BE26">
            <v>30000</v>
          </cell>
          <cell r="BF26">
            <v>89375</v>
          </cell>
          <cell r="BG26">
            <v>121315</v>
          </cell>
          <cell r="BH26">
            <v>113769</v>
          </cell>
          <cell r="BI26">
            <v>7546</v>
          </cell>
          <cell r="BJ26">
            <v>189295</v>
          </cell>
          <cell r="BK26">
            <v>131500</v>
          </cell>
          <cell r="BL26">
            <v>57795</v>
          </cell>
          <cell r="BM26">
            <v>30149</v>
          </cell>
          <cell r="BN26">
            <v>60633</v>
          </cell>
          <cell r="BO26">
            <v>93700</v>
          </cell>
          <cell r="BP26">
            <v>22296</v>
          </cell>
          <cell r="BQ26">
            <v>288460</v>
          </cell>
          <cell r="BR26">
            <v>38549</v>
          </cell>
          <cell r="BS26">
            <v>54440</v>
          </cell>
          <cell r="BT26">
            <v>189000</v>
          </cell>
          <cell r="BU26">
            <v>31916</v>
          </cell>
          <cell r="BV26">
            <v>14483</v>
          </cell>
          <cell r="BW26">
            <v>125579</v>
          </cell>
          <cell r="BX26">
            <v>118196</v>
          </cell>
          <cell r="BY26">
            <v>5211</v>
          </cell>
          <cell r="BZ26">
            <v>2172</v>
          </cell>
          <cell r="CA26">
            <v>35560</v>
          </cell>
          <cell r="CB26">
            <v>1117973</v>
          </cell>
          <cell r="CC26">
            <v>1044849</v>
          </cell>
          <cell r="CD26">
            <v>73124</v>
          </cell>
          <cell r="CE26">
            <v>113</v>
          </cell>
          <cell r="CF26">
            <v>16110</v>
          </cell>
          <cell r="CG26">
            <v>21171</v>
          </cell>
          <cell r="CH26">
            <v>15136</v>
          </cell>
          <cell r="CI26">
            <v>58931</v>
          </cell>
          <cell r="CJ26">
            <v>165652</v>
          </cell>
          <cell r="CK26">
            <v>36470</v>
          </cell>
          <cell r="CL26">
            <v>4147288</v>
          </cell>
          <cell r="CM26">
            <v>388465</v>
          </cell>
          <cell r="CN26">
            <v>380737</v>
          </cell>
          <cell r="CO26">
            <v>7727</v>
          </cell>
          <cell r="CP26">
            <v>1</v>
          </cell>
          <cell r="CQ26">
            <v>18430</v>
          </cell>
          <cell r="CR26">
            <v>211444</v>
          </cell>
          <cell r="CS26">
            <v>89900</v>
          </cell>
          <cell r="CT26">
            <v>14074</v>
          </cell>
          <cell r="CU26">
            <v>22</v>
          </cell>
          <cell r="CV26">
            <v>10356</v>
          </cell>
          <cell r="CW26">
            <v>0</v>
          </cell>
          <cell r="CX26">
            <v>128786</v>
          </cell>
          <cell r="CY26">
            <v>67080</v>
          </cell>
        </row>
        <row r="27">
          <cell r="A27" t="str">
            <v>Total circuit kms of line</v>
          </cell>
          <cell r="B27" t="str">
            <v>KMC</v>
          </cell>
          <cell r="C27">
            <v>2002</v>
          </cell>
          <cell r="D27">
            <v>92.5</v>
          </cell>
          <cell r="E27">
            <v>1312</v>
          </cell>
          <cell r="F27">
            <v>766.9</v>
          </cell>
          <cell r="G27">
            <v>432</v>
          </cell>
          <cell r="H27">
            <v>444</v>
          </cell>
          <cell r="I27">
            <v>1392</v>
          </cell>
          <cell r="J27">
            <v>1049</v>
          </cell>
          <cell r="K27">
            <v>136.9</v>
          </cell>
          <cell r="L27">
            <v>27.5</v>
          </cell>
          <cell r="M27">
            <v>743.3</v>
          </cell>
          <cell r="N27">
            <v>21</v>
          </cell>
          <cell r="O27">
            <v>281</v>
          </cell>
          <cell r="P27">
            <v>27</v>
          </cell>
          <cell r="Q27">
            <v>7.6</v>
          </cell>
          <cell r="R27">
            <v>132.19999999999999</v>
          </cell>
          <cell r="S27">
            <v>4870</v>
          </cell>
          <cell r="T27">
            <v>1239.7</v>
          </cell>
          <cell r="U27">
            <v>251</v>
          </cell>
          <cell r="V27">
            <v>133.19999999999999</v>
          </cell>
          <cell r="W27">
            <v>408.1</v>
          </cell>
          <cell r="X27">
            <v>274.89999999999998</v>
          </cell>
          <cell r="Y27">
            <v>473.1</v>
          </cell>
          <cell r="Z27">
            <v>76.599999999999994</v>
          </cell>
          <cell r="AA27">
            <v>8.1</v>
          </cell>
          <cell r="AB27">
            <v>1828.7</v>
          </cell>
          <cell r="AC27">
            <v>870.6</v>
          </cell>
          <cell r="AD27">
            <v>833.6</v>
          </cell>
          <cell r="AE27">
            <v>37</v>
          </cell>
          <cell r="AF27">
            <v>215.6</v>
          </cell>
          <cell r="AG27">
            <v>893.1</v>
          </cell>
          <cell r="AH27">
            <v>862</v>
          </cell>
          <cell r="AI27">
            <v>31.1</v>
          </cell>
          <cell r="AJ27">
            <v>1616</v>
          </cell>
          <cell r="AK27">
            <v>746.5</v>
          </cell>
          <cell r="AL27">
            <v>68.400000000000006</v>
          </cell>
          <cell r="AM27">
            <v>3178</v>
          </cell>
          <cell r="AN27">
            <v>2450</v>
          </cell>
          <cell r="AO27">
            <v>728</v>
          </cell>
          <cell r="AP27">
            <v>22.6</v>
          </cell>
          <cell r="AQ27">
            <v>64.900000000000006</v>
          </cell>
          <cell r="AR27">
            <v>2189</v>
          </cell>
          <cell r="AS27">
            <v>118710.39999999999</v>
          </cell>
          <cell r="AT27">
            <v>118690</v>
          </cell>
          <cell r="AU27">
            <v>20.399999999999999</v>
          </cell>
          <cell r="AV27">
            <v>4830</v>
          </cell>
          <cell r="AW27">
            <v>584</v>
          </cell>
          <cell r="AX27">
            <v>98</v>
          </cell>
          <cell r="AY27">
            <v>347.9</v>
          </cell>
          <cell r="AZ27">
            <v>1675</v>
          </cell>
          <cell r="BA27">
            <v>100</v>
          </cell>
          <cell r="BB27">
            <v>652</v>
          </cell>
          <cell r="BC27">
            <v>2459</v>
          </cell>
          <cell r="BD27">
            <v>106.6</v>
          </cell>
          <cell r="BE27">
            <v>105.6</v>
          </cell>
          <cell r="BF27">
            <v>700.5</v>
          </cell>
          <cell r="BG27">
            <v>956.7</v>
          </cell>
          <cell r="BH27">
            <v>614</v>
          </cell>
          <cell r="BI27">
            <v>342.7</v>
          </cell>
          <cell r="BJ27">
            <v>1960</v>
          </cell>
          <cell r="BK27">
            <v>760</v>
          </cell>
          <cell r="BL27">
            <v>1200</v>
          </cell>
          <cell r="BM27">
            <v>317.60000000000002</v>
          </cell>
          <cell r="BN27">
            <v>745</v>
          </cell>
          <cell r="BO27">
            <v>560</v>
          </cell>
          <cell r="BP27">
            <v>370</v>
          </cell>
          <cell r="BQ27">
            <v>1255</v>
          </cell>
          <cell r="BR27">
            <v>141.5</v>
          </cell>
          <cell r="BS27">
            <v>280.3</v>
          </cell>
          <cell r="BT27">
            <v>1455</v>
          </cell>
          <cell r="BU27">
            <v>147.4</v>
          </cell>
          <cell r="BV27">
            <v>128</v>
          </cell>
          <cell r="BW27">
            <v>523.1</v>
          </cell>
          <cell r="BX27">
            <v>489</v>
          </cell>
          <cell r="BY27">
            <v>23.3</v>
          </cell>
          <cell r="BZ27">
            <v>10.8</v>
          </cell>
          <cell r="CA27">
            <v>267</v>
          </cell>
          <cell r="CB27">
            <v>5429.3</v>
          </cell>
          <cell r="CC27">
            <v>5073</v>
          </cell>
          <cell r="CD27">
            <v>356.3</v>
          </cell>
          <cell r="CE27">
            <v>710</v>
          </cell>
          <cell r="CF27">
            <v>70</v>
          </cell>
          <cell r="CG27">
            <v>84.4</v>
          </cell>
          <cell r="CH27">
            <v>202.9</v>
          </cell>
          <cell r="CI27">
            <v>244</v>
          </cell>
          <cell r="CJ27">
            <v>135.1</v>
          </cell>
          <cell r="CK27">
            <v>134</v>
          </cell>
          <cell r="CL27">
            <v>16638</v>
          </cell>
          <cell r="CM27">
            <v>1584.7</v>
          </cell>
          <cell r="CN27">
            <v>1313</v>
          </cell>
          <cell r="CO27">
            <v>29.7</v>
          </cell>
          <cell r="CP27">
            <v>242</v>
          </cell>
          <cell r="CQ27">
            <v>196.7</v>
          </cell>
          <cell r="CR27">
            <v>1292</v>
          </cell>
          <cell r="CS27">
            <v>411.4</v>
          </cell>
          <cell r="CT27">
            <v>122</v>
          </cell>
          <cell r="CU27">
            <v>65.099999999999994</v>
          </cell>
          <cell r="CV27">
            <v>22.1</v>
          </cell>
          <cell r="CW27">
            <v>375.8</v>
          </cell>
          <cell r="CX27">
            <v>898.8</v>
          </cell>
          <cell r="CY27">
            <v>245.8</v>
          </cell>
        </row>
        <row r="28">
          <cell r="A28" t="str">
            <v>Overhead circuit kms of line</v>
          </cell>
          <cell r="B28" t="str">
            <v>KMCO</v>
          </cell>
          <cell r="C28">
            <v>2002</v>
          </cell>
          <cell r="D28">
            <v>92</v>
          </cell>
          <cell r="E28">
            <v>644</v>
          </cell>
          <cell r="F28">
            <v>642.20000000000005</v>
          </cell>
          <cell r="G28">
            <v>405</v>
          </cell>
          <cell r="H28">
            <v>264</v>
          </cell>
          <cell r="I28">
            <v>883</v>
          </cell>
          <cell r="J28">
            <v>717</v>
          </cell>
          <cell r="K28">
            <v>77.2</v>
          </cell>
          <cell r="L28">
            <v>26</v>
          </cell>
          <cell r="M28">
            <v>525</v>
          </cell>
          <cell r="N28">
            <v>17</v>
          </cell>
          <cell r="O28">
            <v>209</v>
          </cell>
          <cell r="P28">
            <v>15.6</v>
          </cell>
          <cell r="Q28">
            <v>6.4</v>
          </cell>
          <cell r="R28">
            <v>86.6</v>
          </cell>
          <cell r="S28">
            <v>1661</v>
          </cell>
          <cell r="T28">
            <v>1060.7</v>
          </cell>
          <cell r="U28">
            <v>202.9</v>
          </cell>
          <cell r="V28">
            <v>122.6</v>
          </cell>
          <cell r="W28">
            <v>202.2</v>
          </cell>
          <cell r="X28">
            <v>184.8</v>
          </cell>
          <cell r="Y28">
            <v>18.399999999999999</v>
          </cell>
          <cell r="Z28">
            <v>68.599999999999994</v>
          </cell>
          <cell r="AA28">
            <v>6.3</v>
          </cell>
          <cell r="AB28">
            <v>1827.6</v>
          </cell>
          <cell r="AC28">
            <v>695.6</v>
          </cell>
          <cell r="AD28">
            <v>660.6</v>
          </cell>
          <cell r="AE28">
            <v>35</v>
          </cell>
          <cell r="AF28">
            <v>168.6</v>
          </cell>
          <cell r="AG28">
            <v>411.7</v>
          </cell>
          <cell r="AH28">
            <v>401</v>
          </cell>
          <cell r="AI28">
            <v>10.7</v>
          </cell>
          <cell r="AJ28">
            <v>1539</v>
          </cell>
          <cell r="AK28">
            <v>601.29999999999995</v>
          </cell>
          <cell r="AL28">
            <v>57.4</v>
          </cell>
          <cell r="AM28">
            <v>1625</v>
          </cell>
          <cell r="AN28">
            <v>1100</v>
          </cell>
          <cell r="AO28">
            <v>525</v>
          </cell>
          <cell r="AP28">
            <v>20.100000000000001</v>
          </cell>
          <cell r="AQ28">
            <v>56.6</v>
          </cell>
          <cell r="AR28">
            <v>731</v>
          </cell>
          <cell r="AS28">
            <v>114520</v>
          </cell>
          <cell r="AT28">
            <v>114500</v>
          </cell>
          <cell r="AU28">
            <v>20</v>
          </cell>
          <cell r="AV28">
            <v>3040</v>
          </cell>
          <cell r="AW28">
            <v>494</v>
          </cell>
          <cell r="AX28">
            <v>88</v>
          </cell>
          <cell r="AY28">
            <v>241.6</v>
          </cell>
          <cell r="AZ28">
            <v>962</v>
          </cell>
          <cell r="BA28">
            <v>93</v>
          </cell>
          <cell r="BB28">
            <v>579</v>
          </cell>
          <cell r="BC28">
            <v>1261</v>
          </cell>
          <cell r="BD28">
            <v>84.3</v>
          </cell>
          <cell r="BE28">
            <v>75.5</v>
          </cell>
          <cell r="BF28">
            <v>523.79999999999995</v>
          </cell>
          <cell r="BG28">
            <v>563.1</v>
          </cell>
          <cell r="BH28">
            <v>235</v>
          </cell>
          <cell r="BI28">
            <v>328.1</v>
          </cell>
          <cell r="BJ28">
            <v>1559</v>
          </cell>
          <cell r="BK28">
            <v>459</v>
          </cell>
          <cell r="BL28">
            <v>1100</v>
          </cell>
          <cell r="BM28">
            <v>264</v>
          </cell>
          <cell r="BN28">
            <v>678</v>
          </cell>
          <cell r="BO28">
            <v>500</v>
          </cell>
          <cell r="BP28">
            <v>365</v>
          </cell>
          <cell r="BQ28">
            <v>520</v>
          </cell>
          <cell r="BR28">
            <v>83.5</v>
          </cell>
          <cell r="BS28">
            <v>237</v>
          </cell>
          <cell r="BT28">
            <v>798</v>
          </cell>
          <cell r="BU28">
            <v>127.5</v>
          </cell>
          <cell r="BV28">
            <v>117</v>
          </cell>
          <cell r="BW28">
            <v>377.7</v>
          </cell>
          <cell r="BX28">
            <v>349</v>
          </cell>
          <cell r="BY28">
            <v>17.899999999999999</v>
          </cell>
          <cell r="BZ28">
            <v>10.8</v>
          </cell>
          <cell r="CA28">
            <v>259.10000000000002</v>
          </cell>
          <cell r="CB28">
            <v>2369.4</v>
          </cell>
          <cell r="CC28">
            <v>2230</v>
          </cell>
          <cell r="CD28">
            <v>139.4</v>
          </cell>
          <cell r="CE28">
            <v>604</v>
          </cell>
          <cell r="CF28">
            <v>68</v>
          </cell>
          <cell r="CG28">
            <v>75.599999999999994</v>
          </cell>
          <cell r="CH28">
            <v>197.5</v>
          </cell>
          <cell r="CI28">
            <v>181.5</v>
          </cell>
          <cell r="CJ28">
            <v>95.9</v>
          </cell>
          <cell r="CK28">
            <v>95.5</v>
          </cell>
          <cell r="CL28">
            <v>9077</v>
          </cell>
          <cell r="CM28">
            <v>1157.3</v>
          </cell>
          <cell r="CN28">
            <v>926</v>
          </cell>
          <cell r="CO28">
            <v>18.8</v>
          </cell>
          <cell r="CP28">
            <v>212.5</v>
          </cell>
          <cell r="CQ28">
            <v>118.1</v>
          </cell>
          <cell r="CR28">
            <v>921</v>
          </cell>
          <cell r="CS28">
            <v>323.7</v>
          </cell>
          <cell r="CT28">
            <v>114</v>
          </cell>
          <cell r="CU28">
            <v>53.2</v>
          </cell>
          <cell r="CV28">
            <v>15.4</v>
          </cell>
          <cell r="CW28">
            <v>338.5</v>
          </cell>
          <cell r="CX28">
            <v>455.7</v>
          </cell>
          <cell r="CY28">
            <v>148.6</v>
          </cell>
        </row>
        <row r="29">
          <cell r="A29" t="str">
            <v>Underground circuit kms ofline</v>
          </cell>
          <cell r="B29" t="str">
            <v>KMCU</v>
          </cell>
          <cell r="C29">
            <v>2002</v>
          </cell>
          <cell r="D29">
            <v>0.5</v>
          </cell>
          <cell r="E29">
            <v>668</v>
          </cell>
          <cell r="F29">
            <v>124.7</v>
          </cell>
          <cell r="G29">
            <v>27</v>
          </cell>
          <cell r="H29">
            <v>180</v>
          </cell>
          <cell r="I29">
            <v>509</v>
          </cell>
          <cell r="J29">
            <v>332</v>
          </cell>
          <cell r="K29">
            <v>59.7</v>
          </cell>
          <cell r="L29">
            <v>1.5</v>
          </cell>
          <cell r="M29">
            <v>218.3</v>
          </cell>
          <cell r="N29">
            <v>4</v>
          </cell>
          <cell r="O29">
            <v>72</v>
          </cell>
          <cell r="P29">
            <v>11.4</v>
          </cell>
          <cell r="Q29">
            <v>1.2</v>
          </cell>
          <cell r="R29">
            <v>45.6</v>
          </cell>
          <cell r="S29">
            <v>3209</v>
          </cell>
          <cell r="T29">
            <v>179</v>
          </cell>
          <cell r="U29">
            <v>48.1</v>
          </cell>
          <cell r="V29">
            <v>10.6</v>
          </cell>
          <cell r="W29">
            <v>205.9</v>
          </cell>
          <cell r="X29">
            <v>90.1</v>
          </cell>
          <cell r="Y29">
            <v>454.7</v>
          </cell>
          <cell r="Z29">
            <v>8</v>
          </cell>
          <cell r="AA29">
            <v>1.8</v>
          </cell>
          <cell r="AB29">
            <v>1.1000000000000001</v>
          </cell>
          <cell r="AC29">
            <v>175</v>
          </cell>
          <cell r="AD29">
            <v>173</v>
          </cell>
          <cell r="AE29">
            <v>2</v>
          </cell>
          <cell r="AF29">
            <v>47</v>
          </cell>
          <cell r="AG29">
            <v>481.4</v>
          </cell>
          <cell r="AH29">
            <v>461</v>
          </cell>
          <cell r="AI29">
            <v>20.399999999999999</v>
          </cell>
          <cell r="AJ29">
            <v>77</v>
          </cell>
          <cell r="AK29">
            <v>145.19999999999999</v>
          </cell>
          <cell r="AL29">
            <v>11</v>
          </cell>
          <cell r="AM29">
            <v>1553</v>
          </cell>
          <cell r="AN29">
            <v>1350</v>
          </cell>
          <cell r="AO29">
            <v>203</v>
          </cell>
          <cell r="AP29">
            <v>2.5</v>
          </cell>
          <cell r="AQ29">
            <v>8.3000000000000007</v>
          </cell>
          <cell r="AR29">
            <v>1458</v>
          </cell>
          <cell r="AS29">
            <v>4190.3999999999996</v>
          </cell>
          <cell r="AT29">
            <v>4190</v>
          </cell>
          <cell r="AU29">
            <v>0.4</v>
          </cell>
          <cell r="AV29">
            <v>1790</v>
          </cell>
          <cell r="AW29">
            <v>90</v>
          </cell>
          <cell r="AX29">
            <v>10</v>
          </cell>
          <cell r="AY29">
            <v>106.3</v>
          </cell>
          <cell r="AZ29">
            <v>713</v>
          </cell>
          <cell r="BA29">
            <v>7</v>
          </cell>
          <cell r="BB29">
            <v>73</v>
          </cell>
          <cell r="BC29">
            <v>1198</v>
          </cell>
          <cell r="BD29">
            <v>22.3</v>
          </cell>
          <cell r="BE29">
            <v>30.1</v>
          </cell>
          <cell r="BF29">
            <v>176.7</v>
          </cell>
          <cell r="BG29">
            <v>393.6</v>
          </cell>
          <cell r="BH29">
            <v>379</v>
          </cell>
          <cell r="BI29">
            <v>14.6</v>
          </cell>
          <cell r="BJ29">
            <v>401</v>
          </cell>
          <cell r="BK29">
            <v>301</v>
          </cell>
          <cell r="BL29">
            <v>100</v>
          </cell>
          <cell r="BM29">
            <v>53.6</v>
          </cell>
          <cell r="BN29">
            <v>67</v>
          </cell>
          <cell r="BO29">
            <v>60</v>
          </cell>
          <cell r="BP29">
            <v>5</v>
          </cell>
          <cell r="BQ29">
            <v>735</v>
          </cell>
          <cell r="BR29">
            <v>58</v>
          </cell>
          <cell r="BS29">
            <v>43.3</v>
          </cell>
          <cell r="BT29">
            <v>657</v>
          </cell>
          <cell r="BU29">
            <v>19.899999999999999</v>
          </cell>
          <cell r="BV29">
            <v>11</v>
          </cell>
          <cell r="BW29">
            <v>145.4</v>
          </cell>
          <cell r="BX29">
            <v>140</v>
          </cell>
          <cell r="BY29">
            <v>5.4</v>
          </cell>
          <cell r="BZ29">
            <v>0</v>
          </cell>
          <cell r="CA29">
            <v>7.9</v>
          </cell>
          <cell r="CB29">
            <v>3059.9</v>
          </cell>
          <cell r="CC29">
            <v>2843</v>
          </cell>
          <cell r="CD29">
            <v>216.9</v>
          </cell>
          <cell r="CE29">
            <v>106</v>
          </cell>
          <cell r="CF29">
            <v>2</v>
          </cell>
          <cell r="CG29">
            <v>8.8000000000000007</v>
          </cell>
          <cell r="CH29">
            <v>5.4</v>
          </cell>
          <cell r="CI29">
            <v>62.5</v>
          </cell>
          <cell r="CJ29">
            <v>39.200000000000003</v>
          </cell>
          <cell r="CK29">
            <v>38.5</v>
          </cell>
          <cell r="CL29">
            <v>7561</v>
          </cell>
          <cell r="CM29">
            <v>427.4</v>
          </cell>
          <cell r="CN29">
            <v>387</v>
          </cell>
          <cell r="CO29">
            <v>10.9</v>
          </cell>
          <cell r="CP29">
            <v>29.5</v>
          </cell>
          <cell r="CQ29">
            <v>78.599999999999994</v>
          </cell>
          <cell r="CR29">
            <v>371</v>
          </cell>
          <cell r="CS29">
            <v>87.7</v>
          </cell>
          <cell r="CT29">
            <v>8</v>
          </cell>
          <cell r="CU29">
            <v>11.9</v>
          </cell>
          <cell r="CV29">
            <v>6.7</v>
          </cell>
          <cell r="CW29">
            <v>37.299999999999997</v>
          </cell>
          <cell r="CX29">
            <v>443.1</v>
          </cell>
          <cell r="CY29">
            <v>97.2</v>
          </cell>
        </row>
        <row r="30">
          <cell r="A30" t="str">
            <v>Circuit kilometers 3 phase</v>
          </cell>
          <cell r="B30" t="str">
            <v>KMC3</v>
          </cell>
          <cell r="C30">
            <v>2002</v>
          </cell>
          <cell r="D30">
            <v>47</v>
          </cell>
          <cell r="E30">
            <v>655</v>
          </cell>
          <cell r="F30">
            <v>428.5</v>
          </cell>
          <cell r="G30">
            <v>202</v>
          </cell>
          <cell r="H30">
            <v>216</v>
          </cell>
          <cell r="I30">
            <v>693</v>
          </cell>
          <cell r="J30">
            <v>467</v>
          </cell>
          <cell r="K30">
            <v>67.2</v>
          </cell>
          <cell r="L30">
            <v>15.9</v>
          </cell>
          <cell r="M30">
            <v>467.3</v>
          </cell>
          <cell r="N30">
            <v>10</v>
          </cell>
          <cell r="O30">
            <v>90</v>
          </cell>
          <cell r="P30">
            <v>12.2</v>
          </cell>
          <cell r="Q30">
            <v>5.2</v>
          </cell>
          <cell r="R30">
            <v>64.3</v>
          </cell>
          <cell r="S30">
            <v>2941</v>
          </cell>
          <cell r="T30">
            <v>829.2</v>
          </cell>
          <cell r="U30">
            <v>142</v>
          </cell>
          <cell r="V30">
            <v>30.8</v>
          </cell>
          <cell r="W30">
            <v>143.80000000000001</v>
          </cell>
          <cell r="X30">
            <v>145.9</v>
          </cell>
          <cell r="Y30">
            <v>0</v>
          </cell>
          <cell r="Z30">
            <v>48.5</v>
          </cell>
          <cell r="AA30">
            <v>3.5</v>
          </cell>
          <cell r="AB30">
            <v>0</v>
          </cell>
          <cell r="AC30">
            <v>19.399999999999999</v>
          </cell>
          <cell r="AD30">
            <v>0</v>
          </cell>
          <cell r="AE30">
            <v>19.399999999999999</v>
          </cell>
          <cell r="AF30">
            <v>98</v>
          </cell>
          <cell r="AG30">
            <v>421.6</v>
          </cell>
          <cell r="AH30">
            <v>415</v>
          </cell>
          <cell r="AI30">
            <v>6.6</v>
          </cell>
          <cell r="AJ30">
            <v>587</v>
          </cell>
          <cell r="AK30">
            <v>358.1</v>
          </cell>
          <cell r="AL30">
            <v>27.3</v>
          </cell>
          <cell r="AM30">
            <v>1873.4</v>
          </cell>
          <cell r="AN30">
            <v>1507</v>
          </cell>
          <cell r="AO30">
            <v>366.4</v>
          </cell>
          <cell r="AP30">
            <v>8</v>
          </cell>
          <cell r="AQ30">
            <v>42.8</v>
          </cell>
          <cell r="AR30">
            <v>0</v>
          </cell>
          <cell r="AS30">
            <v>44799</v>
          </cell>
          <cell r="AT30">
            <v>44790</v>
          </cell>
          <cell r="AU30">
            <v>9</v>
          </cell>
          <cell r="AV30">
            <v>2660</v>
          </cell>
          <cell r="AW30">
            <v>289</v>
          </cell>
          <cell r="AX30">
            <v>61</v>
          </cell>
          <cell r="AY30">
            <v>251.7</v>
          </cell>
          <cell r="AZ30">
            <v>723</v>
          </cell>
          <cell r="BA30">
            <v>58</v>
          </cell>
          <cell r="BB30">
            <v>149</v>
          </cell>
          <cell r="BC30">
            <v>1177</v>
          </cell>
          <cell r="BD30">
            <v>64.099999999999994</v>
          </cell>
          <cell r="BE30">
            <v>69</v>
          </cell>
          <cell r="BF30">
            <v>369.9</v>
          </cell>
          <cell r="BG30">
            <v>289.3</v>
          </cell>
          <cell r="BH30">
            <v>258</v>
          </cell>
          <cell r="BI30">
            <v>31.3</v>
          </cell>
          <cell r="BJ30">
            <v>844</v>
          </cell>
          <cell r="BK30">
            <v>394</v>
          </cell>
          <cell r="BL30">
            <v>450</v>
          </cell>
          <cell r="BM30">
            <v>168.8</v>
          </cell>
          <cell r="BN30">
            <v>369</v>
          </cell>
          <cell r="BO30">
            <v>373</v>
          </cell>
          <cell r="BP30">
            <v>230</v>
          </cell>
          <cell r="BQ30">
            <v>678</v>
          </cell>
          <cell r="BR30">
            <v>80</v>
          </cell>
          <cell r="BS30">
            <v>204</v>
          </cell>
          <cell r="BT30">
            <v>203</v>
          </cell>
          <cell r="BU30">
            <v>94.1</v>
          </cell>
          <cell r="BV30">
            <v>73</v>
          </cell>
          <cell r="BW30">
            <v>337.7</v>
          </cell>
          <cell r="BX30">
            <v>318</v>
          </cell>
          <cell r="BY30">
            <v>13.3</v>
          </cell>
          <cell r="BZ30">
            <v>6.4</v>
          </cell>
          <cell r="CA30">
            <v>174.1</v>
          </cell>
          <cell r="CB30">
            <v>2477.1</v>
          </cell>
          <cell r="CC30">
            <v>2333</v>
          </cell>
          <cell r="CD30">
            <v>144.1</v>
          </cell>
          <cell r="CE30">
            <v>446</v>
          </cell>
          <cell r="CF30">
            <v>49</v>
          </cell>
          <cell r="CG30">
            <v>41.2</v>
          </cell>
          <cell r="CH30">
            <v>69.2</v>
          </cell>
          <cell r="CI30">
            <v>174.2</v>
          </cell>
          <cell r="CJ30">
            <v>77.900000000000006</v>
          </cell>
          <cell r="CK30">
            <v>77.5</v>
          </cell>
          <cell r="CL30">
            <v>16638</v>
          </cell>
          <cell r="CM30">
            <v>860.4</v>
          </cell>
          <cell r="CN30">
            <v>771</v>
          </cell>
          <cell r="CO30">
            <v>18.399999999999999</v>
          </cell>
          <cell r="CP30">
            <v>71</v>
          </cell>
          <cell r="CQ30">
            <v>83.4</v>
          </cell>
          <cell r="CR30">
            <v>860</v>
          </cell>
          <cell r="CS30">
            <v>268.2</v>
          </cell>
          <cell r="CT30">
            <v>83</v>
          </cell>
          <cell r="CU30">
            <v>45.3</v>
          </cell>
          <cell r="CV30">
            <v>5.7</v>
          </cell>
          <cell r="CW30">
            <v>212.8</v>
          </cell>
          <cell r="CX30">
            <v>408</v>
          </cell>
          <cell r="CY30">
            <v>139.5</v>
          </cell>
        </row>
        <row r="31">
          <cell r="A31" t="str">
            <v>Circuit kilometers 2 phase</v>
          </cell>
          <cell r="B31" t="str">
            <v>KMC2</v>
          </cell>
          <cell r="C31">
            <v>2002</v>
          </cell>
          <cell r="D31">
            <v>0</v>
          </cell>
          <cell r="E31">
            <v>0</v>
          </cell>
          <cell r="F31">
            <v>0</v>
          </cell>
          <cell r="G31">
            <v>19</v>
          </cell>
          <cell r="H31">
            <v>0</v>
          </cell>
          <cell r="I31">
            <v>0</v>
          </cell>
          <cell r="J31">
            <v>0</v>
          </cell>
          <cell r="K31">
            <v>0</v>
          </cell>
          <cell r="L31">
            <v>2.2000000000000002</v>
          </cell>
          <cell r="M31">
            <v>2.5</v>
          </cell>
          <cell r="N31">
            <v>1</v>
          </cell>
          <cell r="O31">
            <v>0</v>
          </cell>
          <cell r="P31">
            <v>1.4</v>
          </cell>
          <cell r="Q31">
            <v>0</v>
          </cell>
          <cell r="R31">
            <v>1.3</v>
          </cell>
          <cell r="S31">
            <v>90</v>
          </cell>
          <cell r="T31">
            <v>12.7</v>
          </cell>
          <cell r="U31">
            <v>4</v>
          </cell>
          <cell r="V31">
            <v>0.7</v>
          </cell>
          <cell r="W31">
            <v>0</v>
          </cell>
          <cell r="X31">
            <v>5.7</v>
          </cell>
          <cell r="Y31">
            <v>0</v>
          </cell>
          <cell r="Z31">
            <v>0.8</v>
          </cell>
          <cell r="AA31">
            <v>0.2</v>
          </cell>
          <cell r="AB31">
            <v>0</v>
          </cell>
          <cell r="AC31">
            <v>0</v>
          </cell>
          <cell r="AD31">
            <v>0</v>
          </cell>
          <cell r="AE31">
            <v>0</v>
          </cell>
          <cell r="AF31">
            <v>0.3</v>
          </cell>
          <cell r="AG31">
            <v>0</v>
          </cell>
          <cell r="AH31">
            <v>0</v>
          </cell>
          <cell r="AI31">
            <v>0</v>
          </cell>
          <cell r="AJ31">
            <v>59</v>
          </cell>
          <cell r="AK31">
            <v>0</v>
          </cell>
          <cell r="AL31">
            <v>0</v>
          </cell>
          <cell r="AM31">
            <v>79.5</v>
          </cell>
          <cell r="AN31">
            <v>79</v>
          </cell>
          <cell r="AO31">
            <v>0.5</v>
          </cell>
          <cell r="AP31">
            <v>4</v>
          </cell>
          <cell r="AQ31">
            <v>0</v>
          </cell>
          <cell r="AR31">
            <v>0</v>
          </cell>
          <cell r="AS31">
            <v>3550</v>
          </cell>
          <cell r="AT31">
            <v>3550</v>
          </cell>
          <cell r="AU31">
            <v>0</v>
          </cell>
          <cell r="AV31">
            <v>200</v>
          </cell>
          <cell r="AW31">
            <v>4</v>
          </cell>
          <cell r="AX31">
            <v>0</v>
          </cell>
          <cell r="AY31">
            <v>0</v>
          </cell>
          <cell r="AZ31">
            <v>0</v>
          </cell>
          <cell r="BA31">
            <v>1</v>
          </cell>
          <cell r="BB31">
            <v>49</v>
          </cell>
          <cell r="BC31">
            <v>0</v>
          </cell>
          <cell r="BD31">
            <v>0</v>
          </cell>
          <cell r="BE31">
            <v>12</v>
          </cell>
          <cell r="BF31">
            <v>24.9</v>
          </cell>
          <cell r="BG31">
            <v>7.1</v>
          </cell>
          <cell r="BH31">
            <v>0</v>
          </cell>
          <cell r="BI31">
            <v>7.1</v>
          </cell>
          <cell r="BJ31">
            <v>2</v>
          </cell>
          <cell r="BK31">
            <v>2</v>
          </cell>
          <cell r="BL31">
            <v>0</v>
          </cell>
          <cell r="BM31">
            <v>3.2</v>
          </cell>
          <cell r="BN31">
            <v>0</v>
          </cell>
          <cell r="BO31">
            <v>7</v>
          </cell>
          <cell r="BP31">
            <v>0</v>
          </cell>
          <cell r="BQ31">
            <v>0</v>
          </cell>
          <cell r="BR31">
            <v>0</v>
          </cell>
          <cell r="BS31">
            <v>5.7</v>
          </cell>
          <cell r="BT31">
            <v>0</v>
          </cell>
          <cell r="BU31">
            <v>1.5</v>
          </cell>
          <cell r="BV31">
            <v>0</v>
          </cell>
          <cell r="BW31">
            <v>8.1999999999999993</v>
          </cell>
          <cell r="BX31">
            <v>7</v>
          </cell>
          <cell r="BY31">
            <v>1.2</v>
          </cell>
          <cell r="BZ31">
            <v>0</v>
          </cell>
          <cell r="CA31">
            <v>0</v>
          </cell>
          <cell r="CB31">
            <v>48</v>
          </cell>
          <cell r="CC31">
            <v>48</v>
          </cell>
          <cell r="CD31">
            <v>0</v>
          </cell>
          <cell r="CE31">
            <v>10</v>
          </cell>
          <cell r="CF31">
            <v>1</v>
          </cell>
          <cell r="CG31">
            <v>0</v>
          </cell>
          <cell r="CH31">
            <v>0</v>
          </cell>
          <cell r="CI31">
            <v>17.600000000000001</v>
          </cell>
          <cell r="CJ31">
            <v>0</v>
          </cell>
          <cell r="CK31">
            <v>0</v>
          </cell>
          <cell r="CL31">
            <v>0</v>
          </cell>
          <cell r="CM31">
            <v>22.8</v>
          </cell>
          <cell r="CN31">
            <v>20</v>
          </cell>
          <cell r="CO31">
            <v>1.8</v>
          </cell>
          <cell r="CP31">
            <v>1</v>
          </cell>
          <cell r="CQ31">
            <v>5.8</v>
          </cell>
          <cell r="CR31">
            <v>3</v>
          </cell>
          <cell r="CS31">
            <v>0</v>
          </cell>
          <cell r="CT31">
            <v>1</v>
          </cell>
          <cell r="CU31">
            <v>0</v>
          </cell>
          <cell r="CV31">
            <v>0</v>
          </cell>
          <cell r="CW31">
            <v>53.2</v>
          </cell>
          <cell r="CX31">
            <v>6</v>
          </cell>
          <cell r="CY31">
            <v>0</v>
          </cell>
        </row>
        <row r="32">
          <cell r="A32" t="str">
            <v>Circuit kms single phase</v>
          </cell>
          <cell r="B32" t="str">
            <v>KMC1</v>
          </cell>
          <cell r="C32">
            <v>2002</v>
          </cell>
          <cell r="D32">
            <v>45.5</v>
          </cell>
          <cell r="E32">
            <v>657</v>
          </cell>
          <cell r="F32">
            <v>338.3</v>
          </cell>
          <cell r="G32">
            <v>211</v>
          </cell>
          <cell r="H32">
            <v>228</v>
          </cell>
          <cell r="I32">
            <v>699</v>
          </cell>
          <cell r="J32">
            <v>582</v>
          </cell>
          <cell r="K32">
            <v>69.7</v>
          </cell>
          <cell r="L32">
            <v>9.4</v>
          </cell>
          <cell r="M32">
            <v>273.5</v>
          </cell>
          <cell r="N32">
            <v>10</v>
          </cell>
          <cell r="O32">
            <v>191</v>
          </cell>
          <cell r="P32">
            <v>13.4</v>
          </cell>
          <cell r="Q32">
            <v>2.4</v>
          </cell>
          <cell r="R32">
            <v>66.599999999999994</v>
          </cell>
          <cell r="S32">
            <v>1839</v>
          </cell>
          <cell r="T32">
            <v>397.8</v>
          </cell>
          <cell r="U32">
            <v>105</v>
          </cell>
          <cell r="V32">
            <v>101.7</v>
          </cell>
          <cell r="W32">
            <v>264.3</v>
          </cell>
          <cell r="X32">
            <v>123.2</v>
          </cell>
          <cell r="Y32">
            <v>0</v>
          </cell>
          <cell r="Z32">
            <v>27.3</v>
          </cell>
          <cell r="AA32">
            <v>2.5</v>
          </cell>
          <cell r="AB32">
            <v>0</v>
          </cell>
          <cell r="AC32">
            <v>15.5</v>
          </cell>
          <cell r="AD32">
            <v>0</v>
          </cell>
          <cell r="AE32">
            <v>15.5</v>
          </cell>
          <cell r="AF32">
            <v>117.3</v>
          </cell>
          <cell r="AG32">
            <v>471.5</v>
          </cell>
          <cell r="AH32">
            <v>447</v>
          </cell>
          <cell r="AI32">
            <v>24.5</v>
          </cell>
          <cell r="AJ32">
            <v>970</v>
          </cell>
          <cell r="AK32">
            <v>388.4</v>
          </cell>
          <cell r="AL32">
            <v>41.1</v>
          </cell>
          <cell r="AM32">
            <v>1224.9000000000001</v>
          </cell>
          <cell r="AN32">
            <v>864</v>
          </cell>
          <cell r="AO32">
            <v>360.9</v>
          </cell>
          <cell r="AP32">
            <v>10.6</v>
          </cell>
          <cell r="AQ32">
            <v>22.1</v>
          </cell>
          <cell r="AR32">
            <v>0</v>
          </cell>
          <cell r="AS32">
            <v>70361.399999999994</v>
          </cell>
          <cell r="AT32">
            <v>70350</v>
          </cell>
          <cell r="AU32">
            <v>11.4</v>
          </cell>
          <cell r="AV32">
            <v>1970</v>
          </cell>
          <cell r="AW32">
            <v>291</v>
          </cell>
          <cell r="AX32">
            <v>37</v>
          </cell>
          <cell r="AY32">
            <v>337.8</v>
          </cell>
          <cell r="AZ32">
            <v>952</v>
          </cell>
          <cell r="BA32">
            <v>41</v>
          </cell>
          <cell r="BB32">
            <v>84</v>
          </cell>
          <cell r="BC32">
            <v>1282</v>
          </cell>
          <cell r="BD32">
            <v>42.5</v>
          </cell>
          <cell r="BE32">
            <v>24.6</v>
          </cell>
          <cell r="BF32">
            <v>305.60000000000002</v>
          </cell>
          <cell r="BG32">
            <v>660.3</v>
          </cell>
          <cell r="BH32">
            <v>356</v>
          </cell>
          <cell r="BI32">
            <v>304.3</v>
          </cell>
          <cell r="BJ32">
            <v>1114</v>
          </cell>
          <cell r="BK32">
            <v>364</v>
          </cell>
          <cell r="BL32">
            <v>750</v>
          </cell>
          <cell r="BM32">
            <v>150.1</v>
          </cell>
          <cell r="BN32">
            <v>376</v>
          </cell>
          <cell r="BO32">
            <v>180</v>
          </cell>
          <cell r="BP32">
            <v>140</v>
          </cell>
          <cell r="BQ32">
            <v>577</v>
          </cell>
          <cell r="BR32">
            <v>61.5</v>
          </cell>
          <cell r="BS32">
            <v>70.599999999999994</v>
          </cell>
          <cell r="BT32">
            <v>403</v>
          </cell>
          <cell r="BU32">
            <v>51.8</v>
          </cell>
          <cell r="BV32">
            <v>44</v>
          </cell>
          <cell r="BW32">
            <v>177.2</v>
          </cell>
          <cell r="BX32">
            <v>164</v>
          </cell>
          <cell r="BY32">
            <v>8.8000000000000007</v>
          </cell>
          <cell r="BZ32">
            <v>4.4000000000000004</v>
          </cell>
          <cell r="CA32">
            <v>92.9</v>
          </cell>
          <cell r="CB32">
            <v>2904.2</v>
          </cell>
          <cell r="CC32">
            <v>2692</v>
          </cell>
          <cell r="CD32">
            <v>212.2</v>
          </cell>
          <cell r="CE32">
            <v>254</v>
          </cell>
          <cell r="CF32">
            <v>20</v>
          </cell>
          <cell r="CG32">
            <v>43.2</v>
          </cell>
          <cell r="CH32">
            <v>133.69999999999999</v>
          </cell>
          <cell r="CI32">
            <v>52.2</v>
          </cell>
          <cell r="CJ32">
            <v>57.2</v>
          </cell>
          <cell r="CK32">
            <v>56.5</v>
          </cell>
          <cell r="CL32">
            <v>0</v>
          </cell>
          <cell r="CM32">
            <v>313.5</v>
          </cell>
          <cell r="CN32">
            <v>134</v>
          </cell>
          <cell r="CO32">
            <v>9.5</v>
          </cell>
          <cell r="CP32">
            <v>170</v>
          </cell>
          <cell r="CQ32">
            <v>107.5</v>
          </cell>
          <cell r="CR32">
            <v>67</v>
          </cell>
          <cell r="CS32">
            <v>143.19999999999999</v>
          </cell>
          <cell r="CT32">
            <v>38</v>
          </cell>
          <cell r="CU32">
            <v>19.8</v>
          </cell>
          <cell r="CV32">
            <v>16.399999999999999</v>
          </cell>
          <cell r="CW32">
            <v>109.8</v>
          </cell>
          <cell r="CX32">
            <v>484.8</v>
          </cell>
          <cell r="CY32">
            <v>106.3</v>
          </cell>
        </row>
        <row r="33">
          <cell r="A33" t="str">
            <v>No transmission transformers</v>
          </cell>
          <cell r="B33" t="str">
            <v>NTRST</v>
          </cell>
          <cell r="C33">
            <v>2002</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2</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2</v>
          </cell>
          <cell r="AS33">
            <v>263</v>
          </cell>
          <cell r="AT33">
            <v>263</v>
          </cell>
          <cell r="AU33">
            <v>0</v>
          </cell>
          <cell r="AV33">
            <v>23</v>
          </cell>
          <cell r="AW33">
            <v>0</v>
          </cell>
          <cell r="AX33">
            <v>3</v>
          </cell>
          <cell r="AY33">
            <v>0</v>
          </cell>
          <cell r="AZ33">
            <v>14</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14</v>
          </cell>
          <cell r="CC33">
            <v>14</v>
          </cell>
          <cell r="CD33">
            <v>0</v>
          </cell>
          <cell r="CE33">
            <v>8</v>
          </cell>
          <cell r="CF33">
            <v>0</v>
          </cell>
          <cell r="CG33">
            <v>0</v>
          </cell>
          <cell r="CH33">
            <v>0</v>
          </cell>
          <cell r="CI33">
            <v>0</v>
          </cell>
          <cell r="CJ33">
            <v>0</v>
          </cell>
          <cell r="CK33">
            <v>0</v>
          </cell>
          <cell r="CL33">
            <v>2</v>
          </cell>
          <cell r="CM33">
            <v>0</v>
          </cell>
          <cell r="CN33">
            <v>0</v>
          </cell>
          <cell r="CO33">
            <v>0</v>
          </cell>
          <cell r="CP33">
            <v>0</v>
          </cell>
          <cell r="CQ33">
            <v>0</v>
          </cell>
          <cell r="CR33">
            <v>8</v>
          </cell>
          <cell r="CS33">
            <v>0</v>
          </cell>
          <cell r="CT33">
            <v>0</v>
          </cell>
          <cell r="CU33">
            <v>0</v>
          </cell>
          <cell r="CV33">
            <v>0</v>
          </cell>
          <cell r="CW33">
            <v>0</v>
          </cell>
          <cell r="CX33">
            <v>0</v>
          </cell>
          <cell r="CY33">
            <v>0</v>
          </cell>
        </row>
        <row r="34">
          <cell r="A34" t="str">
            <v>No subtransmission transformer</v>
          </cell>
          <cell r="B34" t="str">
            <v>NTRFST</v>
          </cell>
          <cell r="C34">
            <v>2002</v>
          </cell>
          <cell r="D34">
            <v>4</v>
          </cell>
          <cell r="E34">
            <v>39</v>
          </cell>
          <cell r="F34">
            <v>23</v>
          </cell>
          <cell r="G34">
            <v>0</v>
          </cell>
          <cell r="H34">
            <v>4</v>
          </cell>
          <cell r="I34">
            <v>44</v>
          </cell>
          <cell r="J34">
            <v>11</v>
          </cell>
          <cell r="K34">
            <v>6</v>
          </cell>
          <cell r="L34">
            <v>0</v>
          </cell>
          <cell r="M34">
            <v>27</v>
          </cell>
          <cell r="N34">
            <v>4</v>
          </cell>
          <cell r="O34">
            <v>11</v>
          </cell>
          <cell r="P34">
            <v>1</v>
          </cell>
          <cell r="Q34">
            <v>0</v>
          </cell>
          <cell r="R34">
            <v>0</v>
          </cell>
          <cell r="S34">
            <v>104</v>
          </cell>
          <cell r="T34">
            <v>32</v>
          </cell>
          <cell r="U34">
            <v>10</v>
          </cell>
          <cell r="V34">
            <v>0</v>
          </cell>
          <cell r="W34">
            <v>8</v>
          </cell>
          <cell r="X34">
            <v>11</v>
          </cell>
          <cell r="Y34">
            <v>70</v>
          </cell>
          <cell r="Z34">
            <v>0</v>
          </cell>
          <cell r="AA34">
            <v>0</v>
          </cell>
          <cell r="AB34">
            <v>0</v>
          </cell>
          <cell r="AC34">
            <v>37</v>
          </cell>
          <cell r="AD34">
            <v>30</v>
          </cell>
          <cell r="AE34">
            <v>7</v>
          </cell>
          <cell r="AF34">
            <v>0</v>
          </cell>
          <cell r="AG34">
            <v>1</v>
          </cell>
          <cell r="AH34">
            <v>0</v>
          </cell>
          <cell r="AI34">
            <v>1</v>
          </cell>
          <cell r="AJ34">
            <v>18</v>
          </cell>
          <cell r="AK34">
            <v>72</v>
          </cell>
          <cell r="AL34">
            <v>0</v>
          </cell>
          <cell r="AM34">
            <v>68</v>
          </cell>
          <cell r="AN34">
            <v>68</v>
          </cell>
          <cell r="AO34">
            <v>0</v>
          </cell>
          <cell r="AP34">
            <v>0</v>
          </cell>
          <cell r="AQ34">
            <v>3</v>
          </cell>
          <cell r="AR34">
            <v>26</v>
          </cell>
          <cell r="AS34">
            <v>1680</v>
          </cell>
          <cell r="AT34">
            <v>1680</v>
          </cell>
          <cell r="AU34">
            <v>0</v>
          </cell>
          <cell r="AV34">
            <v>137</v>
          </cell>
          <cell r="AW34">
            <v>15</v>
          </cell>
          <cell r="AX34">
            <v>0</v>
          </cell>
          <cell r="AY34">
            <v>34</v>
          </cell>
          <cell r="AZ34">
            <v>7</v>
          </cell>
          <cell r="BA34">
            <v>0</v>
          </cell>
          <cell r="BB34">
            <v>7</v>
          </cell>
          <cell r="BC34">
            <v>45</v>
          </cell>
          <cell r="BD34">
            <v>0</v>
          </cell>
          <cell r="BE34">
            <v>6</v>
          </cell>
          <cell r="BF34">
            <v>0</v>
          </cell>
          <cell r="BG34">
            <v>99</v>
          </cell>
          <cell r="BH34">
            <v>99</v>
          </cell>
          <cell r="BI34">
            <v>0</v>
          </cell>
          <cell r="BJ34">
            <v>9</v>
          </cell>
          <cell r="BK34">
            <v>0</v>
          </cell>
          <cell r="BL34">
            <v>9</v>
          </cell>
          <cell r="BM34">
            <v>32</v>
          </cell>
          <cell r="BN34">
            <v>14</v>
          </cell>
          <cell r="BO34">
            <v>20</v>
          </cell>
          <cell r="BP34">
            <v>0</v>
          </cell>
          <cell r="BQ34">
            <v>38</v>
          </cell>
          <cell r="BR34">
            <v>0</v>
          </cell>
          <cell r="BS34">
            <v>0</v>
          </cell>
          <cell r="BT34">
            <v>16</v>
          </cell>
          <cell r="BU34">
            <v>11</v>
          </cell>
          <cell r="BV34">
            <v>5</v>
          </cell>
          <cell r="BW34">
            <v>39</v>
          </cell>
          <cell r="BX34">
            <v>37</v>
          </cell>
          <cell r="BY34">
            <v>2</v>
          </cell>
          <cell r="BZ34">
            <v>0</v>
          </cell>
          <cell r="CA34">
            <v>7</v>
          </cell>
          <cell r="CB34">
            <v>24</v>
          </cell>
          <cell r="CC34">
            <v>16</v>
          </cell>
          <cell r="CD34">
            <v>8</v>
          </cell>
          <cell r="CE34">
            <v>33</v>
          </cell>
          <cell r="CF34">
            <v>5</v>
          </cell>
          <cell r="CG34">
            <v>9</v>
          </cell>
          <cell r="CH34">
            <v>0</v>
          </cell>
          <cell r="CI34">
            <v>0</v>
          </cell>
          <cell r="CJ34">
            <v>33</v>
          </cell>
          <cell r="CK34">
            <v>5</v>
          </cell>
          <cell r="CL34">
            <v>0</v>
          </cell>
          <cell r="CM34">
            <v>63</v>
          </cell>
          <cell r="CN34">
            <v>57</v>
          </cell>
          <cell r="CO34">
            <v>3</v>
          </cell>
          <cell r="CP34">
            <v>3</v>
          </cell>
          <cell r="CQ34">
            <v>3</v>
          </cell>
          <cell r="CR34">
            <v>32</v>
          </cell>
          <cell r="CS34">
            <v>0</v>
          </cell>
          <cell r="CT34">
            <v>0</v>
          </cell>
          <cell r="CU34">
            <v>4</v>
          </cell>
          <cell r="CV34">
            <v>0</v>
          </cell>
          <cell r="CW34">
            <v>29</v>
          </cell>
          <cell r="CX34">
            <v>12</v>
          </cell>
          <cell r="CY34">
            <v>0</v>
          </cell>
        </row>
        <row r="35">
          <cell r="A35" t="str">
            <v>No distribution transformers</v>
          </cell>
          <cell r="B35" t="str">
            <v>NTRFD</v>
          </cell>
          <cell r="C35">
            <v>2002</v>
          </cell>
          <cell r="D35">
            <v>324</v>
          </cell>
          <cell r="E35">
            <v>8602</v>
          </cell>
          <cell r="F35">
            <v>4524</v>
          </cell>
          <cell r="G35">
            <v>2631</v>
          </cell>
          <cell r="H35">
            <v>3034</v>
          </cell>
          <cell r="I35">
            <v>8332</v>
          </cell>
          <cell r="J35">
            <v>6540</v>
          </cell>
          <cell r="K35">
            <v>751</v>
          </cell>
          <cell r="L35">
            <v>1</v>
          </cell>
          <cell r="M35">
            <v>3446</v>
          </cell>
          <cell r="N35">
            <v>239</v>
          </cell>
          <cell r="O35">
            <v>1958</v>
          </cell>
          <cell r="P35">
            <v>257</v>
          </cell>
          <cell r="Q35">
            <v>66</v>
          </cell>
          <cell r="R35">
            <v>1471</v>
          </cell>
          <cell r="S35">
            <v>24406</v>
          </cell>
          <cell r="T35">
            <v>6383</v>
          </cell>
          <cell r="U35">
            <v>1563</v>
          </cell>
          <cell r="V35">
            <v>605</v>
          </cell>
          <cell r="W35">
            <v>2959</v>
          </cell>
          <cell r="X35">
            <v>2418</v>
          </cell>
          <cell r="Y35">
            <v>2390</v>
          </cell>
          <cell r="Z35">
            <v>788</v>
          </cell>
          <cell r="AA35">
            <v>113</v>
          </cell>
          <cell r="AB35">
            <v>4559</v>
          </cell>
          <cell r="AC35">
            <v>5484</v>
          </cell>
          <cell r="AD35">
            <v>5066</v>
          </cell>
          <cell r="AE35">
            <v>418</v>
          </cell>
          <cell r="AF35">
            <v>1485</v>
          </cell>
          <cell r="AG35">
            <v>5003</v>
          </cell>
          <cell r="AH35">
            <v>4755</v>
          </cell>
          <cell r="AI35">
            <v>248</v>
          </cell>
          <cell r="AJ35">
            <v>6279</v>
          </cell>
          <cell r="AK35">
            <v>3424</v>
          </cell>
          <cell r="AL35">
            <v>593</v>
          </cell>
          <cell r="AM35">
            <v>23063</v>
          </cell>
          <cell r="AN35">
            <v>17238</v>
          </cell>
          <cell r="AO35">
            <v>5825</v>
          </cell>
          <cell r="AP35">
            <v>172</v>
          </cell>
          <cell r="AQ35">
            <v>730</v>
          </cell>
          <cell r="AR35">
            <v>12422</v>
          </cell>
          <cell r="AS35">
            <v>516371</v>
          </cell>
          <cell r="AT35">
            <v>516200</v>
          </cell>
          <cell r="AU35">
            <v>171</v>
          </cell>
          <cell r="AV35">
            <v>38377</v>
          </cell>
          <cell r="AW35">
            <v>2997</v>
          </cell>
          <cell r="AX35">
            <v>688</v>
          </cell>
          <cell r="AY35">
            <v>2200</v>
          </cell>
          <cell r="AZ35">
            <v>9042</v>
          </cell>
          <cell r="BA35">
            <v>590</v>
          </cell>
          <cell r="BB35">
            <v>1105</v>
          </cell>
          <cell r="BC35">
            <v>13978</v>
          </cell>
          <cell r="BD35">
            <v>1102</v>
          </cell>
          <cell r="BE35">
            <v>1070</v>
          </cell>
          <cell r="BF35">
            <v>4040</v>
          </cell>
          <cell r="BG35">
            <v>3556</v>
          </cell>
          <cell r="BH35">
            <v>2909</v>
          </cell>
          <cell r="BI35">
            <v>647</v>
          </cell>
          <cell r="BJ35">
            <v>8051</v>
          </cell>
          <cell r="BK35">
            <v>4046</v>
          </cell>
          <cell r="BL35">
            <v>4005</v>
          </cell>
          <cell r="BM35">
            <v>1778</v>
          </cell>
          <cell r="BN35">
            <v>4904</v>
          </cell>
          <cell r="BO35">
            <v>3890</v>
          </cell>
          <cell r="BP35">
            <v>725</v>
          </cell>
          <cell r="BQ35">
            <v>7350</v>
          </cell>
          <cell r="BR35">
            <v>1195</v>
          </cell>
          <cell r="BS35">
            <v>1657</v>
          </cell>
          <cell r="BT35">
            <v>5687</v>
          </cell>
          <cell r="BU35">
            <v>1592</v>
          </cell>
          <cell r="BV35">
            <v>688</v>
          </cell>
          <cell r="BW35">
            <v>5305</v>
          </cell>
          <cell r="BX35">
            <v>4943</v>
          </cell>
          <cell r="BY35">
            <v>231</v>
          </cell>
          <cell r="BZ35">
            <v>131</v>
          </cell>
          <cell r="CA35">
            <v>1999</v>
          </cell>
          <cell r="CB35">
            <v>30596</v>
          </cell>
          <cell r="CC35">
            <v>28394</v>
          </cell>
          <cell r="CD35">
            <v>2202</v>
          </cell>
          <cell r="CE35">
            <v>5500</v>
          </cell>
          <cell r="CF35">
            <v>425</v>
          </cell>
          <cell r="CG35">
            <v>960</v>
          </cell>
          <cell r="CH35">
            <v>870</v>
          </cell>
          <cell r="CI35">
            <v>1214</v>
          </cell>
          <cell r="CJ35">
            <v>6709</v>
          </cell>
          <cell r="CK35">
            <v>850</v>
          </cell>
          <cell r="CL35">
            <v>58808</v>
          </cell>
          <cell r="CM35">
            <v>14096</v>
          </cell>
          <cell r="CN35">
            <v>12100</v>
          </cell>
          <cell r="CO35">
            <v>322</v>
          </cell>
          <cell r="CP35">
            <v>1674</v>
          </cell>
          <cell r="CQ35">
            <v>1194</v>
          </cell>
          <cell r="CR35">
            <v>8549</v>
          </cell>
          <cell r="CS35">
            <v>2366</v>
          </cell>
          <cell r="CT35">
            <v>657</v>
          </cell>
          <cell r="CU35">
            <v>406</v>
          </cell>
          <cell r="CV35">
            <v>271</v>
          </cell>
          <cell r="CW35">
            <v>3279</v>
          </cell>
          <cell r="CX35">
            <v>4565</v>
          </cell>
          <cell r="CY35">
            <v>1640</v>
          </cell>
        </row>
        <row r="36">
          <cell r="A36" t="str">
            <v>Utility average load factor</v>
          </cell>
          <cell r="B36" t="str">
            <v>LF</v>
          </cell>
          <cell r="C36">
            <v>2002</v>
          </cell>
          <cell r="D36">
            <v>0</v>
          </cell>
          <cell r="E36" t="str">
            <v>0.64</v>
          </cell>
          <cell r="F36">
            <v>77</v>
          </cell>
          <cell r="G36">
            <v>65</v>
          </cell>
          <cell r="H36">
            <v>41</v>
          </cell>
          <cell r="I36">
            <v>69.61</v>
          </cell>
          <cell r="J36">
            <v>71.55</v>
          </cell>
          <cell r="K36">
            <v>71.34</v>
          </cell>
          <cell r="L36">
            <v>0</v>
          </cell>
          <cell r="M36">
            <v>70.650000000000006</v>
          </cell>
          <cell r="N36">
            <v>69.819999999999993</v>
          </cell>
          <cell r="O36">
            <v>75</v>
          </cell>
          <cell r="P36">
            <v>0</v>
          </cell>
          <cell r="Q36">
            <v>0</v>
          </cell>
          <cell r="R36">
            <v>66.400000000000006</v>
          </cell>
          <cell r="S36">
            <v>0</v>
          </cell>
          <cell r="T36">
            <v>82.2</v>
          </cell>
          <cell r="U36">
            <v>0.68</v>
          </cell>
          <cell r="V36">
            <v>0</v>
          </cell>
          <cell r="W36">
            <v>67.3</v>
          </cell>
          <cell r="X36">
            <v>88.9</v>
          </cell>
          <cell r="Y36">
            <v>58.71</v>
          </cell>
          <cell r="Z36">
            <v>70.099999999999994</v>
          </cell>
          <cell r="AA36">
            <v>1</v>
          </cell>
          <cell r="AB36">
            <v>0</v>
          </cell>
          <cell r="AC36">
            <v>0</v>
          </cell>
          <cell r="AD36">
            <v>0</v>
          </cell>
          <cell r="AE36">
            <v>0</v>
          </cell>
          <cell r="AF36">
            <v>66.069999999999993</v>
          </cell>
          <cell r="AG36">
            <v>0</v>
          </cell>
          <cell r="AH36">
            <v>0</v>
          </cell>
          <cell r="AI36">
            <v>0</v>
          </cell>
          <cell r="AJ36">
            <v>70.47</v>
          </cell>
          <cell r="AK36">
            <v>0</v>
          </cell>
          <cell r="AL36">
            <v>0</v>
          </cell>
          <cell r="AM36">
            <v>0</v>
          </cell>
          <cell r="AN36">
            <v>76.34</v>
          </cell>
          <cell r="AO36">
            <v>0</v>
          </cell>
          <cell r="AP36">
            <v>0</v>
          </cell>
          <cell r="AQ36">
            <v>0</v>
          </cell>
          <cell r="AR36">
            <v>0</v>
          </cell>
          <cell r="AS36">
            <v>0</v>
          </cell>
          <cell r="AT36">
            <v>0</v>
          </cell>
          <cell r="AU36">
            <v>0</v>
          </cell>
          <cell r="AV36" t="str">
            <v>0.72</v>
          </cell>
          <cell r="AW36">
            <v>39.299999999999997</v>
          </cell>
          <cell r="AX36">
            <v>74.8</v>
          </cell>
          <cell r="AY36">
            <v>74</v>
          </cell>
          <cell r="AZ36">
            <v>72.5</v>
          </cell>
          <cell r="BA36" t="str">
            <v>0.72</v>
          </cell>
          <cell r="BB36">
            <v>0</v>
          </cell>
          <cell r="BC36">
            <v>70.900000000000006</v>
          </cell>
          <cell r="BD36">
            <v>67.92</v>
          </cell>
          <cell r="BE36">
            <v>87</v>
          </cell>
          <cell r="BF36">
            <v>0</v>
          </cell>
          <cell r="BG36">
            <v>0</v>
          </cell>
          <cell r="BH36">
            <v>0</v>
          </cell>
          <cell r="BI36">
            <v>69.5</v>
          </cell>
          <cell r="BJ36">
            <v>0</v>
          </cell>
          <cell r="BK36">
            <v>0</v>
          </cell>
          <cell r="BL36" t="str">
            <v>0.83</v>
          </cell>
          <cell r="BM36">
            <v>66.8</v>
          </cell>
          <cell r="BN36" t="str">
            <v>0.69</v>
          </cell>
          <cell r="BO36">
            <v>0.56999999999999995</v>
          </cell>
          <cell r="BP36">
            <v>0</v>
          </cell>
          <cell r="BQ36">
            <v>71.599999999999994</v>
          </cell>
          <cell r="BR36">
            <v>0</v>
          </cell>
          <cell r="BS36">
            <v>68.7</v>
          </cell>
          <cell r="BT36">
            <v>0</v>
          </cell>
          <cell r="BU36">
            <v>61.5</v>
          </cell>
          <cell r="BV36">
            <v>68.06</v>
          </cell>
          <cell r="BW36">
            <v>0</v>
          </cell>
          <cell r="BX36">
            <v>72.819999999999993</v>
          </cell>
          <cell r="BY36">
            <v>69.540000000000006</v>
          </cell>
          <cell r="BZ36">
            <v>67.989999999999995</v>
          </cell>
          <cell r="CA36">
            <v>52</v>
          </cell>
          <cell r="CB36">
            <v>66.81</v>
          </cell>
          <cell r="CC36">
            <v>66.81</v>
          </cell>
          <cell r="CD36">
            <v>67.069999999999993</v>
          </cell>
          <cell r="CE36">
            <v>75.099999999999994</v>
          </cell>
          <cell r="CF36">
            <v>69</v>
          </cell>
          <cell r="CG36">
            <v>0</v>
          </cell>
          <cell r="CH36">
            <v>8.66</v>
          </cell>
          <cell r="CI36">
            <v>0</v>
          </cell>
          <cell r="CJ36">
            <v>73.97</v>
          </cell>
          <cell r="CK36">
            <v>0</v>
          </cell>
          <cell r="CL36">
            <v>74.510000000000005</v>
          </cell>
          <cell r="CM36">
            <v>0</v>
          </cell>
          <cell r="CN36">
            <v>72.2</v>
          </cell>
          <cell r="CO36">
            <v>72</v>
          </cell>
          <cell r="CP36" t="str">
            <v>0.01</v>
          </cell>
          <cell r="CQ36">
            <v>0</v>
          </cell>
          <cell r="CR36">
            <v>0</v>
          </cell>
          <cell r="CS36" t="str">
            <v>0.81</v>
          </cell>
          <cell r="CT36">
            <v>77.06</v>
          </cell>
          <cell r="CU36">
            <v>75.650000000000006</v>
          </cell>
          <cell r="CV36">
            <v>0</v>
          </cell>
          <cell r="CW36">
            <v>0</v>
          </cell>
          <cell r="CX36">
            <v>69.7</v>
          </cell>
          <cell r="CY36">
            <v>0</v>
          </cell>
        </row>
      </sheetData>
      <sheetData sheetId="3" refreshError="1">
        <row r="1">
          <cell r="A1" t="str">
            <v>Distributor Data for Year ended Dec 31st, 2003</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Plant Additions</v>
          </cell>
          <cell r="B6" t="str">
            <v>PADD</v>
          </cell>
          <cell r="C6">
            <v>2003</v>
          </cell>
          <cell r="D6">
            <v>78488</v>
          </cell>
          <cell r="E6">
            <v>15028842</v>
          </cell>
          <cell r="F6">
            <v>2682003</v>
          </cell>
          <cell r="G6">
            <v>2158134</v>
          </cell>
          <cell r="H6">
            <v>2098740</v>
          </cell>
          <cell r="I6">
            <v>7149045.9100000001</v>
          </cell>
          <cell r="J6">
            <v>6748109</v>
          </cell>
          <cell r="K6">
            <v>619610.48</v>
          </cell>
          <cell r="L6">
            <v>10990</v>
          </cell>
          <cell r="M6">
            <v>3991841</v>
          </cell>
          <cell r="N6">
            <v>68472</v>
          </cell>
          <cell r="O6">
            <v>740375.93</v>
          </cell>
          <cell r="P6">
            <v>146338.98000000001</v>
          </cell>
          <cell r="Q6">
            <v>4</v>
          </cell>
          <cell r="R6">
            <v>662872.43000000005</v>
          </cell>
          <cell r="S6">
            <v>572041.49</v>
          </cell>
          <cell r="T6">
            <v>34245666</v>
          </cell>
          <cell r="U6">
            <v>8652136</v>
          </cell>
          <cell r="V6">
            <v>1608737.91</v>
          </cell>
          <cell r="W6">
            <v>355774</v>
          </cell>
          <cell r="X6">
            <v>1328758.78</v>
          </cell>
          <cell r="Y6">
            <v>2511911</v>
          </cell>
          <cell r="Z6">
            <v>13024866.560000001</v>
          </cell>
          <cell r="AA6">
            <v>123578</v>
          </cell>
          <cell r="AB6" t="str">
            <v>0.00</v>
          </cell>
          <cell r="AC6" t="str">
            <v>0.00</v>
          </cell>
          <cell r="AD6">
            <v>4758948.1399999997</v>
          </cell>
          <cell r="AE6">
            <v>4758948.1399999997</v>
          </cell>
          <cell r="AF6" t="str">
            <v>0.00</v>
          </cell>
          <cell r="AG6">
            <v>1844403.87</v>
          </cell>
          <cell r="AH6">
            <v>6527750.1299999999</v>
          </cell>
          <cell r="AI6">
            <v>6480345</v>
          </cell>
          <cell r="AJ6">
            <v>47405.13</v>
          </cell>
          <cell r="AK6">
            <v>2786072.35</v>
          </cell>
          <cell r="AL6">
            <v>1557528</v>
          </cell>
          <cell r="AM6">
            <v>55747</v>
          </cell>
          <cell r="AN6">
            <v>23592841.43</v>
          </cell>
          <cell r="AO6">
            <v>18962754.870000001</v>
          </cell>
          <cell r="AP6">
            <v>4630086.5599999996</v>
          </cell>
          <cell r="AQ6">
            <v>7198</v>
          </cell>
          <cell r="AR6">
            <v>18184.689999999999</v>
          </cell>
          <cell r="AS6">
            <v>17138625</v>
          </cell>
          <cell r="AT6">
            <v>280572457.79000002</v>
          </cell>
          <cell r="AU6">
            <v>280500000</v>
          </cell>
          <cell r="AV6">
            <v>72457.789999999994</v>
          </cell>
          <cell r="AW6">
            <v>59423707</v>
          </cell>
          <cell r="AX6">
            <v>942845.91</v>
          </cell>
          <cell r="AY6">
            <v>313692</v>
          </cell>
          <cell r="AZ6">
            <v>1855011.48</v>
          </cell>
          <cell r="BA6">
            <v>12959979.609999999</v>
          </cell>
          <cell r="BB6">
            <v>543000</v>
          </cell>
          <cell r="BC6">
            <v>1209329.33</v>
          </cell>
          <cell r="BD6">
            <v>16012079</v>
          </cell>
          <cell r="BE6">
            <v>293491</v>
          </cell>
          <cell r="BF6">
            <v>120863.45</v>
          </cell>
          <cell r="BG6">
            <v>7899378</v>
          </cell>
          <cell r="BH6">
            <v>0</v>
          </cell>
          <cell r="BI6">
            <v>5041901.1399999997</v>
          </cell>
          <cell r="BJ6">
            <v>4953241.43</v>
          </cell>
          <cell r="BK6">
            <v>88659.71</v>
          </cell>
          <cell r="BL6">
            <v>8972064</v>
          </cell>
          <cell r="BM6">
            <v>7018133</v>
          </cell>
          <cell r="BN6">
            <v>1953931</v>
          </cell>
          <cell r="BO6">
            <v>4623812</v>
          </cell>
          <cell r="BP6">
            <v>3814293.49</v>
          </cell>
          <cell r="BQ6">
            <v>1540968</v>
          </cell>
          <cell r="BR6">
            <v>63234</v>
          </cell>
          <cell r="BS6">
            <v>772508</v>
          </cell>
          <cell r="BT6">
            <v>2101670.63</v>
          </cell>
          <cell r="BU6">
            <v>1222712</v>
          </cell>
          <cell r="BV6">
            <v>2628914</v>
          </cell>
          <cell r="BW6">
            <v>644750</v>
          </cell>
          <cell r="BX6">
            <v>263724.15000000002</v>
          </cell>
          <cell r="BY6">
            <v>4288492</v>
          </cell>
          <cell r="BZ6">
            <v>4112611</v>
          </cell>
          <cell r="CA6">
            <v>117761</v>
          </cell>
          <cell r="CB6">
            <v>58120</v>
          </cell>
          <cell r="CC6">
            <v>1878355.8</v>
          </cell>
          <cell r="CD6">
            <v>38329217</v>
          </cell>
          <cell r="CE6">
            <v>32489441</v>
          </cell>
          <cell r="CF6">
            <v>5839776</v>
          </cell>
          <cell r="CG6">
            <v>1775800</v>
          </cell>
          <cell r="CH6">
            <v>188436</v>
          </cell>
          <cell r="CI6">
            <v>155820</v>
          </cell>
          <cell r="CJ6">
            <v>492280.71</v>
          </cell>
          <cell r="CK6">
            <v>2477530.2000000002</v>
          </cell>
          <cell r="CL6">
            <v>5141137</v>
          </cell>
          <cell r="CM6">
            <v>566758</v>
          </cell>
          <cell r="CN6">
            <v>113400427</v>
          </cell>
          <cell r="CO6">
            <v>7759423.9500000002</v>
          </cell>
          <cell r="CP6">
            <v>6960770</v>
          </cell>
          <cell r="CQ6">
            <v>54705</v>
          </cell>
          <cell r="CR6">
            <v>743948.95</v>
          </cell>
          <cell r="CS6">
            <v>528774</v>
          </cell>
          <cell r="CT6">
            <v>8160377</v>
          </cell>
          <cell r="CU6">
            <v>554752</v>
          </cell>
          <cell r="CV6">
            <v>358912.97</v>
          </cell>
          <cell r="CW6" t="str">
            <v>0.00</v>
          </cell>
          <cell r="CX6">
            <v>64367.67</v>
          </cell>
          <cell r="CY6">
            <v>1990600</v>
          </cell>
          <cell r="CZ6">
            <v>3866206</v>
          </cell>
          <cell r="DA6">
            <v>1503171.37</v>
          </cell>
        </row>
        <row r="7">
          <cell r="A7" t="str">
            <v>OM&amp;A Expense</v>
          </cell>
          <cell r="B7" t="str">
            <v>COMA</v>
          </cell>
          <cell r="C7">
            <v>2003</v>
          </cell>
          <cell r="D7">
            <v>1014874.03</v>
          </cell>
          <cell r="E7">
            <v>8885882</v>
          </cell>
          <cell r="F7">
            <v>8639170</v>
          </cell>
          <cell r="G7">
            <v>2812374.23</v>
          </cell>
          <cell r="H7">
            <v>6214018.29</v>
          </cell>
          <cell r="I7">
            <v>9426621.2699999996</v>
          </cell>
          <cell r="J7">
            <v>6855740</v>
          </cell>
          <cell r="K7">
            <v>1430285.6</v>
          </cell>
          <cell r="L7">
            <v>483794.29000000004</v>
          </cell>
          <cell r="M7">
            <v>4681045.7600000007</v>
          </cell>
          <cell r="N7">
            <v>378291.38</v>
          </cell>
          <cell r="O7">
            <v>2325210.04</v>
          </cell>
          <cell r="P7">
            <v>302558.18</v>
          </cell>
          <cell r="Q7">
            <v>132069.91</v>
          </cell>
          <cell r="R7">
            <v>1176281.9100000001</v>
          </cell>
          <cell r="S7">
            <v>1812699.5100000002</v>
          </cell>
          <cell r="T7">
            <v>34420178.079999998</v>
          </cell>
          <cell r="U7">
            <v>22394656</v>
          </cell>
          <cell r="V7">
            <v>3541114.3099999996</v>
          </cell>
          <cell r="W7">
            <v>777453.79</v>
          </cell>
          <cell r="X7">
            <v>4965081.88</v>
          </cell>
          <cell r="Y7">
            <v>2951608.67</v>
          </cell>
          <cell r="Z7">
            <v>3543109.2800000007</v>
          </cell>
          <cell r="AA7">
            <v>896032.54999999993</v>
          </cell>
          <cell r="AB7">
            <v>156883.19</v>
          </cell>
          <cell r="AC7">
            <v>6650158.6700000009</v>
          </cell>
          <cell r="AD7">
            <v>8615227</v>
          </cell>
          <cell r="AE7">
            <v>7931211.8500000006</v>
          </cell>
          <cell r="AF7">
            <v>684015.15</v>
          </cell>
          <cell r="AG7">
            <v>1186965.98</v>
          </cell>
          <cell r="AH7">
            <v>8848642.4299999997</v>
          </cell>
          <cell r="AI7">
            <v>8464067.9700000007</v>
          </cell>
          <cell r="AJ7">
            <v>384574.46</v>
          </cell>
          <cell r="AK7">
            <v>4641513.24</v>
          </cell>
          <cell r="AL7">
            <v>3642399</v>
          </cell>
          <cell r="AM7">
            <v>475414.70999999996</v>
          </cell>
          <cell r="AN7">
            <v>31809542.330000002</v>
          </cell>
          <cell r="AO7">
            <v>23866086.130000003</v>
          </cell>
          <cell r="AP7">
            <v>7943456.2000000002</v>
          </cell>
          <cell r="AQ7">
            <v>154287.65</v>
          </cell>
          <cell r="AR7">
            <v>672103.66999999993</v>
          </cell>
          <cell r="AS7">
            <v>13330611.32</v>
          </cell>
          <cell r="AT7">
            <v>314667819.71999997</v>
          </cell>
          <cell r="AU7">
            <v>314383000</v>
          </cell>
          <cell r="AV7">
            <v>284819.72000000003</v>
          </cell>
          <cell r="AW7">
            <v>38350311.109999999</v>
          </cell>
          <cell r="AX7">
            <v>2345580.9500000002</v>
          </cell>
          <cell r="AY7">
            <v>1191404.3999999997</v>
          </cell>
          <cell r="AZ7">
            <v>5020222.7399999993</v>
          </cell>
          <cell r="BA7">
            <v>9770912.4299999997</v>
          </cell>
          <cell r="BB7">
            <v>1118631.8400000001</v>
          </cell>
          <cell r="BC7">
            <v>2047581.6300000001</v>
          </cell>
          <cell r="BD7">
            <v>19688605.5</v>
          </cell>
          <cell r="BE7">
            <v>1414323.51</v>
          </cell>
          <cell r="BF7">
            <v>1654858.9000000001</v>
          </cell>
          <cell r="BG7">
            <v>3471312.45</v>
          </cell>
          <cell r="BH7">
            <v>40019</v>
          </cell>
          <cell r="BI7">
            <v>5425739.0199999996</v>
          </cell>
          <cell r="BJ7">
            <v>4739754.3</v>
          </cell>
          <cell r="BK7">
            <v>685984.72000000009</v>
          </cell>
          <cell r="BL7">
            <v>10299269.439999999</v>
          </cell>
          <cell r="BM7">
            <v>6828321.4000000004</v>
          </cell>
          <cell r="BN7">
            <v>3470948.04</v>
          </cell>
          <cell r="BO7">
            <v>1211099.5399999998</v>
          </cell>
          <cell r="BP7">
            <v>3958764.91</v>
          </cell>
          <cell r="BQ7">
            <v>5046472</v>
          </cell>
          <cell r="BR7">
            <v>1690861.5000000002</v>
          </cell>
          <cell r="BS7">
            <v>10226768.259999998</v>
          </cell>
          <cell r="BT7">
            <v>1753929.67</v>
          </cell>
          <cell r="BU7">
            <v>2641679.3599999999</v>
          </cell>
          <cell r="BV7">
            <v>8050337</v>
          </cell>
          <cell r="BW7">
            <v>1942462.6099999999</v>
          </cell>
          <cell r="BX7">
            <v>808023.89</v>
          </cell>
          <cell r="BY7">
            <v>4858094.12</v>
          </cell>
          <cell r="BZ7">
            <v>4491824.59</v>
          </cell>
          <cell r="CA7">
            <v>234098.30000000005</v>
          </cell>
          <cell r="CB7">
            <v>132171.22999999998</v>
          </cell>
          <cell r="CC7">
            <v>1592417.9200000002</v>
          </cell>
          <cell r="CD7">
            <v>33817990.820000008</v>
          </cell>
          <cell r="CE7">
            <v>30618396.680000003</v>
          </cell>
          <cell r="CF7">
            <v>3199594.1399999997</v>
          </cell>
          <cell r="CG7">
            <v>5888577.29</v>
          </cell>
          <cell r="CH7">
            <v>738871.74</v>
          </cell>
          <cell r="CI7">
            <v>1172503.73</v>
          </cell>
          <cell r="CJ7">
            <v>650416.84000000008</v>
          </cell>
          <cell r="CK7">
            <v>2397264.17</v>
          </cell>
          <cell r="CL7">
            <v>10663571</v>
          </cell>
          <cell r="CM7">
            <v>1301425.27</v>
          </cell>
          <cell r="CN7">
            <v>139419801.63</v>
          </cell>
          <cell r="CO7">
            <v>23227768.729999997</v>
          </cell>
          <cell r="CP7">
            <v>21122376</v>
          </cell>
          <cell r="CQ7">
            <v>449288.26</v>
          </cell>
          <cell r="CR7">
            <v>1656104.47</v>
          </cell>
          <cell r="CS7">
            <v>1193670.7599999998</v>
          </cell>
          <cell r="CT7">
            <v>8110770.2000000002</v>
          </cell>
          <cell r="CU7">
            <v>3854294.3600000003</v>
          </cell>
          <cell r="CV7">
            <v>807142.17999999982</v>
          </cell>
          <cell r="CW7">
            <v>1116986.3099999998</v>
          </cell>
          <cell r="CX7">
            <v>498243.83</v>
          </cell>
          <cell r="CY7">
            <v>4332397</v>
          </cell>
          <cell r="CZ7">
            <v>7090118</v>
          </cell>
          <cell r="DA7">
            <v>2700988.01</v>
          </cell>
        </row>
        <row r="8">
          <cell r="A8" t="str">
            <v>Income Taxes</v>
          </cell>
          <cell r="B8" t="str">
            <v>CTAXINC</v>
          </cell>
          <cell r="C8">
            <v>2003</v>
          </cell>
          <cell r="D8">
            <v>0</v>
          </cell>
          <cell r="E8">
            <v>1214827</v>
          </cell>
          <cell r="F8">
            <v>61000</v>
          </cell>
          <cell r="G8">
            <v>0</v>
          </cell>
          <cell r="H8">
            <v>384845</v>
          </cell>
          <cell r="I8">
            <v>2406314.52</v>
          </cell>
          <cell r="J8">
            <v>833038</v>
          </cell>
          <cell r="K8">
            <v>49795</v>
          </cell>
          <cell r="L8">
            <v>0</v>
          </cell>
          <cell r="M8">
            <v>1197207.93</v>
          </cell>
          <cell r="N8">
            <v>0</v>
          </cell>
          <cell r="O8">
            <v>191855</v>
          </cell>
          <cell r="P8">
            <v>-224</v>
          </cell>
          <cell r="Q8">
            <v>0</v>
          </cell>
          <cell r="R8">
            <v>138947.95000000001</v>
          </cell>
          <cell r="S8">
            <v>683000</v>
          </cell>
          <cell r="T8">
            <v>7001586.7800000003</v>
          </cell>
          <cell r="U8">
            <v>415000</v>
          </cell>
          <cell r="V8">
            <v>79703.649999999994</v>
          </cell>
          <cell r="W8">
            <v>0</v>
          </cell>
          <cell r="X8">
            <v>550749</v>
          </cell>
          <cell r="Y8">
            <v>690000.15</v>
          </cell>
          <cell r="Z8">
            <v>393977.77</v>
          </cell>
          <cell r="AA8">
            <v>-27153</v>
          </cell>
          <cell r="AB8">
            <v>4441</v>
          </cell>
          <cell r="AC8">
            <v>971091.99</v>
          </cell>
          <cell r="AD8">
            <v>121167</v>
          </cell>
          <cell r="AE8">
            <v>150067</v>
          </cell>
          <cell r="AF8">
            <v>-28900</v>
          </cell>
          <cell r="AG8">
            <v>289784</v>
          </cell>
          <cell r="AH8">
            <v>2302200.25</v>
          </cell>
          <cell r="AI8">
            <v>2286879.25</v>
          </cell>
          <cell r="AJ8">
            <v>15321</v>
          </cell>
          <cell r="AK8">
            <v>735000</v>
          </cell>
          <cell r="AL8">
            <v>856051</v>
          </cell>
          <cell r="AM8">
            <v>0</v>
          </cell>
          <cell r="AN8">
            <v>4438078.4800000004</v>
          </cell>
          <cell r="AO8">
            <v>4159974.14</v>
          </cell>
          <cell r="AP8">
            <v>278104.34000000003</v>
          </cell>
          <cell r="AQ8">
            <v>7686</v>
          </cell>
          <cell r="AR8">
            <v>-53921</v>
          </cell>
          <cell r="AS8">
            <v>4024777.02</v>
          </cell>
          <cell r="AT8">
            <v>39903100</v>
          </cell>
          <cell r="AU8">
            <v>39903100</v>
          </cell>
          <cell r="AV8">
            <v>0</v>
          </cell>
          <cell r="AW8">
            <v>0</v>
          </cell>
          <cell r="AX8">
            <v>0</v>
          </cell>
          <cell r="AY8">
            <v>16909</v>
          </cell>
          <cell r="AZ8">
            <v>0</v>
          </cell>
          <cell r="BA8">
            <v>3749519.34</v>
          </cell>
          <cell r="BB8">
            <v>425670</v>
          </cell>
          <cell r="BC8">
            <v>0</v>
          </cell>
          <cell r="BD8">
            <v>2935500</v>
          </cell>
          <cell r="BE8">
            <v>0</v>
          </cell>
          <cell r="BF8">
            <v>0</v>
          </cell>
          <cell r="BG8">
            <v>784281.77</v>
          </cell>
          <cell r="BH8">
            <v>0</v>
          </cell>
          <cell r="BI8">
            <v>448441.87</v>
          </cell>
          <cell r="BJ8">
            <v>398441.87</v>
          </cell>
          <cell r="BK8">
            <v>50000</v>
          </cell>
          <cell r="BL8">
            <v>1777554</v>
          </cell>
          <cell r="BM8">
            <v>1737894</v>
          </cell>
          <cell r="BN8">
            <v>39660</v>
          </cell>
          <cell r="BO8">
            <v>10173</v>
          </cell>
          <cell r="BP8">
            <v>157840.95999999999</v>
          </cell>
          <cell r="BQ8">
            <v>399209</v>
          </cell>
          <cell r="BR8">
            <v>0</v>
          </cell>
          <cell r="BS8">
            <v>-240422.24</v>
          </cell>
          <cell r="BT8">
            <v>541168</v>
          </cell>
          <cell r="BU8">
            <v>1015000</v>
          </cell>
          <cell r="BV8">
            <v>0</v>
          </cell>
          <cell r="BW8">
            <v>221997.69</v>
          </cell>
          <cell r="BX8">
            <v>4188</v>
          </cell>
          <cell r="BY8">
            <v>1914029.27</v>
          </cell>
          <cell r="BZ8">
            <v>1818162.48</v>
          </cell>
          <cell r="CA8">
            <v>90039.79</v>
          </cell>
          <cell r="CB8">
            <v>5827</v>
          </cell>
          <cell r="CC8">
            <v>70406.44</v>
          </cell>
          <cell r="CD8">
            <v>12807218</v>
          </cell>
          <cell r="CE8">
            <v>12807218</v>
          </cell>
          <cell r="CF8">
            <v>0</v>
          </cell>
          <cell r="CG8">
            <v>0</v>
          </cell>
          <cell r="CH8">
            <v>21265</v>
          </cell>
          <cell r="CI8">
            <v>14676</v>
          </cell>
          <cell r="CJ8">
            <v>126718</v>
          </cell>
          <cell r="CK8">
            <v>972188</v>
          </cell>
          <cell r="CL8">
            <v>0</v>
          </cell>
          <cell r="CM8">
            <v>0</v>
          </cell>
          <cell r="CN8">
            <v>41711220</v>
          </cell>
          <cell r="CO8">
            <v>1012648</v>
          </cell>
          <cell r="CP8">
            <v>691594</v>
          </cell>
          <cell r="CQ8">
            <v>0</v>
          </cell>
          <cell r="CR8">
            <v>321054</v>
          </cell>
          <cell r="CS8">
            <v>324328</v>
          </cell>
          <cell r="CT8">
            <v>1702060</v>
          </cell>
          <cell r="CU8">
            <v>42515</v>
          </cell>
          <cell r="CV8">
            <v>5162</v>
          </cell>
          <cell r="CW8">
            <v>33792</v>
          </cell>
          <cell r="CX8">
            <v>0</v>
          </cell>
          <cell r="CY8">
            <v>713000</v>
          </cell>
          <cell r="CZ8">
            <v>394435</v>
          </cell>
          <cell r="DA8">
            <v>399491</v>
          </cell>
        </row>
        <row r="9">
          <cell r="A9" t="str">
            <v>Customers</v>
          </cell>
          <cell r="B9" t="str">
            <v>YN</v>
          </cell>
          <cell r="C9">
            <v>2003</v>
          </cell>
          <cell r="D9">
            <v>1764</v>
          </cell>
          <cell r="E9">
            <v>61590</v>
          </cell>
          <cell r="F9">
            <v>34736</v>
          </cell>
          <cell r="G9">
            <v>8741</v>
          </cell>
          <cell r="H9">
            <v>34804</v>
          </cell>
          <cell r="I9">
            <v>56873</v>
          </cell>
          <cell r="J9">
            <v>45765</v>
          </cell>
          <cell r="K9">
            <v>5833</v>
          </cell>
          <cell r="L9">
            <v>1346</v>
          </cell>
          <cell r="M9">
            <v>31922</v>
          </cell>
          <cell r="N9">
            <v>1613</v>
          </cell>
          <cell r="O9">
            <v>13397</v>
          </cell>
          <cell r="P9">
            <v>1601</v>
          </cell>
          <cell r="Q9">
            <v>569</v>
          </cell>
          <cell r="R9">
            <v>3512</v>
          </cell>
          <cell r="S9">
            <v>10263</v>
          </cell>
          <cell r="T9">
            <v>173862</v>
          </cell>
          <cell r="U9">
            <v>82132</v>
          </cell>
          <cell r="V9">
            <v>13465</v>
          </cell>
          <cell r="W9">
            <v>3325</v>
          </cell>
          <cell r="X9">
            <v>26734</v>
          </cell>
          <cell r="Y9">
            <v>18487</v>
          </cell>
          <cell r="Z9">
            <v>14870</v>
          </cell>
          <cell r="AA9">
            <v>3787</v>
          </cell>
          <cell r="AB9">
            <v>672</v>
          </cell>
          <cell r="AC9">
            <v>11467</v>
          </cell>
          <cell r="AD9">
            <v>45752</v>
          </cell>
          <cell r="AE9">
            <v>42681</v>
          </cell>
          <cell r="AF9">
            <v>3071</v>
          </cell>
          <cell r="AG9">
            <v>8969</v>
          </cell>
          <cell r="AH9">
            <v>44229</v>
          </cell>
          <cell r="AI9">
            <v>42943</v>
          </cell>
          <cell r="AJ9">
            <v>1286</v>
          </cell>
          <cell r="AK9">
            <v>20112</v>
          </cell>
          <cell r="AL9">
            <v>18365</v>
          </cell>
          <cell r="AM9">
            <v>2755</v>
          </cell>
          <cell r="AN9">
            <v>227634</v>
          </cell>
          <cell r="AO9">
            <v>176021</v>
          </cell>
          <cell r="AP9">
            <v>51613</v>
          </cell>
          <cell r="AQ9">
            <v>1122</v>
          </cell>
          <cell r="AR9">
            <v>5214</v>
          </cell>
          <cell r="AS9">
            <v>103204</v>
          </cell>
          <cell r="AT9">
            <v>1129064</v>
          </cell>
          <cell r="AU9">
            <v>1128114</v>
          </cell>
          <cell r="AV9">
            <v>950</v>
          </cell>
          <cell r="AW9">
            <v>269190</v>
          </cell>
          <cell r="AX9">
            <v>13362</v>
          </cell>
          <cell r="AY9">
            <v>5627</v>
          </cell>
          <cell r="AZ9">
            <v>26358</v>
          </cell>
          <cell r="BA9">
            <v>75269</v>
          </cell>
          <cell r="BB9">
            <v>8539</v>
          </cell>
          <cell r="BC9">
            <v>8871</v>
          </cell>
          <cell r="BD9">
            <v>134387</v>
          </cell>
          <cell r="BE9">
            <v>6653</v>
          </cell>
          <cell r="BF9">
            <v>6363</v>
          </cell>
          <cell r="BG9">
            <v>16171</v>
          </cell>
          <cell r="BH9">
            <v>0</v>
          </cell>
          <cell r="BI9">
            <v>28235</v>
          </cell>
          <cell r="BJ9">
            <v>24326</v>
          </cell>
          <cell r="BK9">
            <v>3909</v>
          </cell>
          <cell r="BL9">
            <v>47784</v>
          </cell>
          <cell r="BM9">
            <v>33648</v>
          </cell>
          <cell r="BN9">
            <v>14136</v>
          </cell>
          <cell r="BO9">
            <v>7010</v>
          </cell>
          <cell r="BP9">
            <v>17636</v>
          </cell>
          <cell r="BQ9">
            <v>23603</v>
          </cell>
          <cell r="BR9">
            <v>6324</v>
          </cell>
          <cell r="BS9">
            <v>51814</v>
          </cell>
          <cell r="BT9">
            <v>9616</v>
          </cell>
          <cell r="BU9">
            <v>12258</v>
          </cell>
          <cell r="BV9">
            <v>48202</v>
          </cell>
          <cell r="BW9">
            <v>10032</v>
          </cell>
          <cell r="BX9">
            <v>3191</v>
          </cell>
          <cell r="BY9">
            <v>32847</v>
          </cell>
          <cell r="BZ9">
            <v>30815</v>
          </cell>
          <cell r="CA9">
            <v>1354</v>
          </cell>
          <cell r="CB9">
            <v>678</v>
          </cell>
          <cell r="CC9">
            <v>9271</v>
          </cell>
          <cell r="CD9">
            <v>205025</v>
          </cell>
          <cell r="CE9">
            <v>190201</v>
          </cell>
          <cell r="CF9">
            <v>14824</v>
          </cell>
          <cell r="CG9">
            <v>32443</v>
          </cell>
          <cell r="CH9">
            <v>4048</v>
          </cell>
          <cell r="CI9">
            <v>5738</v>
          </cell>
          <cell r="CJ9">
            <v>2735</v>
          </cell>
          <cell r="CK9">
            <v>14613</v>
          </cell>
          <cell r="CL9">
            <v>49236</v>
          </cell>
          <cell r="CM9">
            <v>6165</v>
          </cell>
          <cell r="CN9">
            <v>668625</v>
          </cell>
          <cell r="CO9">
            <v>99022</v>
          </cell>
          <cell r="CP9">
            <v>90867</v>
          </cell>
          <cell r="CQ9">
            <v>2318</v>
          </cell>
          <cell r="CR9">
            <v>5837</v>
          </cell>
          <cell r="CS9">
            <v>9691</v>
          </cell>
          <cell r="CT9">
            <v>45484</v>
          </cell>
          <cell r="CU9">
            <v>21155</v>
          </cell>
          <cell r="CV9">
            <v>3314</v>
          </cell>
          <cell r="CW9">
            <v>3740</v>
          </cell>
          <cell r="CX9">
            <v>1890</v>
          </cell>
          <cell r="CY9">
            <v>20382</v>
          </cell>
          <cell r="CZ9">
            <v>33174</v>
          </cell>
          <cell r="DA9">
            <v>13863</v>
          </cell>
        </row>
        <row r="10">
          <cell r="A10" t="str">
            <v>Customers - Residential</v>
          </cell>
          <cell r="B10" t="str">
            <v>YNR</v>
          </cell>
          <cell r="C10">
            <v>2003</v>
          </cell>
          <cell r="D10">
            <v>1488</v>
          </cell>
          <cell r="E10">
            <v>55195</v>
          </cell>
          <cell r="F10">
            <v>30451</v>
          </cell>
          <cell r="G10">
            <v>7259</v>
          </cell>
          <cell r="H10">
            <v>31468</v>
          </cell>
          <cell r="I10">
            <v>51456</v>
          </cell>
          <cell r="J10">
            <v>40795</v>
          </cell>
          <cell r="K10">
            <v>5163</v>
          </cell>
          <cell r="L10">
            <v>1164</v>
          </cell>
          <cell r="M10">
            <v>28204</v>
          </cell>
          <cell r="N10">
            <v>1367</v>
          </cell>
          <cell r="O10">
            <v>11756</v>
          </cell>
          <cell r="P10">
            <v>1417</v>
          </cell>
          <cell r="Q10">
            <v>482</v>
          </cell>
          <cell r="R10">
            <v>3037</v>
          </cell>
          <cell r="S10">
            <v>9132</v>
          </cell>
          <cell r="T10">
            <v>153732</v>
          </cell>
          <cell r="U10">
            <v>73872</v>
          </cell>
          <cell r="V10">
            <v>11895</v>
          </cell>
          <cell r="W10">
            <v>2853</v>
          </cell>
          <cell r="X10">
            <v>24600</v>
          </cell>
          <cell r="Y10">
            <v>16253</v>
          </cell>
          <cell r="Z10">
            <v>13492</v>
          </cell>
          <cell r="AA10">
            <v>3321</v>
          </cell>
          <cell r="AB10">
            <v>583</v>
          </cell>
          <cell r="AC10">
            <v>10459</v>
          </cell>
          <cell r="AD10">
            <v>42629</v>
          </cell>
          <cell r="AE10">
            <v>39841</v>
          </cell>
          <cell r="AF10">
            <v>2788</v>
          </cell>
          <cell r="AG10">
            <v>8156</v>
          </cell>
          <cell r="AH10">
            <v>40285</v>
          </cell>
          <cell r="AI10">
            <v>39126</v>
          </cell>
          <cell r="AJ10">
            <v>1159</v>
          </cell>
          <cell r="AK10">
            <v>17585</v>
          </cell>
          <cell r="AL10">
            <v>16787</v>
          </cell>
          <cell r="AM10">
            <v>2317</v>
          </cell>
          <cell r="AN10">
            <v>205427</v>
          </cell>
          <cell r="AO10">
            <v>159055</v>
          </cell>
          <cell r="AP10">
            <v>46372</v>
          </cell>
          <cell r="AQ10">
            <v>955</v>
          </cell>
          <cell r="AR10">
            <v>4553</v>
          </cell>
          <cell r="AS10">
            <v>95064</v>
          </cell>
          <cell r="AT10">
            <v>1022314</v>
          </cell>
          <cell r="AU10">
            <v>1021476</v>
          </cell>
          <cell r="AV10">
            <v>838</v>
          </cell>
          <cell r="AW10">
            <v>242369</v>
          </cell>
          <cell r="AX10">
            <v>12409</v>
          </cell>
          <cell r="AY10">
            <v>4834</v>
          </cell>
          <cell r="AZ10">
            <v>22517</v>
          </cell>
          <cell r="BA10">
            <v>67527</v>
          </cell>
          <cell r="BB10">
            <v>7438</v>
          </cell>
          <cell r="BC10">
            <v>7251</v>
          </cell>
          <cell r="BD10">
            <v>121139</v>
          </cell>
          <cell r="BE10">
            <v>5879</v>
          </cell>
          <cell r="BF10">
            <v>5533</v>
          </cell>
          <cell r="BG10">
            <v>14053</v>
          </cell>
          <cell r="BH10">
            <v>0</v>
          </cell>
          <cell r="BI10">
            <v>25318</v>
          </cell>
          <cell r="BJ10">
            <v>21696</v>
          </cell>
          <cell r="BK10">
            <v>3622</v>
          </cell>
          <cell r="BL10">
            <v>41967</v>
          </cell>
          <cell r="BM10">
            <v>29554</v>
          </cell>
          <cell r="BN10">
            <v>12413</v>
          </cell>
          <cell r="BO10">
            <v>5661</v>
          </cell>
          <cell r="BP10">
            <v>15444</v>
          </cell>
          <cell r="BQ10">
            <v>20612</v>
          </cell>
          <cell r="BR10">
            <v>5359</v>
          </cell>
          <cell r="BS10">
            <v>46167</v>
          </cell>
          <cell r="BT10">
            <v>8581</v>
          </cell>
          <cell r="BU10">
            <v>10651</v>
          </cell>
          <cell r="BV10">
            <v>43679</v>
          </cell>
          <cell r="BW10">
            <v>8439</v>
          </cell>
          <cell r="BX10">
            <v>2570</v>
          </cell>
          <cell r="BY10">
            <v>28820</v>
          </cell>
          <cell r="BZ10">
            <v>27091</v>
          </cell>
          <cell r="CA10">
            <v>1151</v>
          </cell>
          <cell r="CB10">
            <v>578</v>
          </cell>
          <cell r="CC10">
            <v>8071</v>
          </cell>
          <cell r="CD10">
            <v>179658</v>
          </cell>
          <cell r="CE10">
            <v>166230</v>
          </cell>
          <cell r="CF10">
            <v>13428</v>
          </cell>
          <cell r="CG10">
            <v>28709</v>
          </cell>
          <cell r="CH10">
            <v>3471</v>
          </cell>
          <cell r="CI10">
            <v>4860</v>
          </cell>
          <cell r="CJ10">
            <v>2274</v>
          </cell>
          <cell r="CK10">
            <v>12874</v>
          </cell>
          <cell r="CL10">
            <v>44110</v>
          </cell>
          <cell r="CM10">
            <v>5420</v>
          </cell>
          <cell r="CN10">
            <v>590109</v>
          </cell>
          <cell r="CO10">
            <v>89112</v>
          </cell>
          <cell r="CP10">
            <v>82018</v>
          </cell>
          <cell r="CQ10">
            <v>1955</v>
          </cell>
          <cell r="CR10">
            <v>5139</v>
          </cell>
          <cell r="CS10">
            <v>8843</v>
          </cell>
          <cell r="CT10">
            <v>39847</v>
          </cell>
          <cell r="CU10">
            <v>19007</v>
          </cell>
          <cell r="CV10">
            <v>2803</v>
          </cell>
          <cell r="CW10">
            <v>3197</v>
          </cell>
          <cell r="CX10">
            <v>1648</v>
          </cell>
          <cell r="CY10">
            <v>17704</v>
          </cell>
          <cell r="CZ10">
            <v>30910</v>
          </cell>
          <cell r="DA10">
            <v>12497</v>
          </cell>
        </row>
        <row r="11">
          <cell r="A11" t="str">
            <v>Customers - Other</v>
          </cell>
          <cell r="B11" t="str">
            <v>YNO</v>
          </cell>
          <cell r="C11">
            <v>2003</v>
          </cell>
          <cell r="D11">
            <v>276</v>
          </cell>
          <cell r="E11">
            <v>6395</v>
          </cell>
          <cell r="F11">
            <v>4285</v>
          </cell>
          <cell r="G11">
            <v>1482</v>
          </cell>
          <cell r="H11">
            <v>3336</v>
          </cell>
          <cell r="I11">
            <v>5417</v>
          </cell>
          <cell r="J11">
            <v>4970</v>
          </cell>
          <cell r="K11">
            <v>670</v>
          </cell>
          <cell r="L11">
            <v>182</v>
          </cell>
          <cell r="M11">
            <v>3718</v>
          </cell>
          <cell r="N11">
            <v>246</v>
          </cell>
          <cell r="O11">
            <v>1641</v>
          </cell>
          <cell r="P11">
            <v>184</v>
          </cell>
          <cell r="Q11">
            <v>87</v>
          </cell>
          <cell r="R11">
            <v>475</v>
          </cell>
          <cell r="S11">
            <v>1131</v>
          </cell>
          <cell r="T11">
            <v>20130</v>
          </cell>
          <cell r="U11">
            <v>8260</v>
          </cell>
          <cell r="V11">
            <v>1570</v>
          </cell>
          <cell r="W11">
            <v>472</v>
          </cell>
          <cell r="X11">
            <v>2134</v>
          </cell>
          <cell r="Y11">
            <v>2234</v>
          </cell>
          <cell r="Z11">
            <v>1378</v>
          </cell>
          <cell r="AA11">
            <v>466</v>
          </cell>
          <cell r="AB11">
            <v>89</v>
          </cell>
          <cell r="AC11">
            <v>1008</v>
          </cell>
          <cell r="AD11">
            <v>3123</v>
          </cell>
          <cell r="AE11">
            <v>2840</v>
          </cell>
          <cell r="AF11">
            <v>283</v>
          </cell>
          <cell r="AG11">
            <v>813</v>
          </cell>
          <cell r="AH11">
            <v>3944</v>
          </cell>
          <cell r="AI11">
            <v>3817</v>
          </cell>
          <cell r="AJ11">
            <v>127</v>
          </cell>
          <cell r="AK11">
            <v>2527</v>
          </cell>
          <cell r="AL11">
            <v>1578</v>
          </cell>
          <cell r="AM11">
            <v>438</v>
          </cell>
          <cell r="AN11">
            <v>22207</v>
          </cell>
          <cell r="AO11">
            <v>16966</v>
          </cell>
          <cell r="AP11">
            <v>5241</v>
          </cell>
          <cell r="AQ11">
            <v>167</v>
          </cell>
          <cell r="AR11">
            <v>661</v>
          </cell>
          <cell r="AS11">
            <v>8140</v>
          </cell>
          <cell r="AT11">
            <v>106750</v>
          </cell>
          <cell r="AU11">
            <v>106638</v>
          </cell>
          <cell r="AV11">
            <v>112</v>
          </cell>
          <cell r="AW11">
            <v>26821</v>
          </cell>
          <cell r="AX11">
            <v>953</v>
          </cell>
          <cell r="AY11">
            <v>793</v>
          </cell>
          <cell r="AZ11">
            <v>3841</v>
          </cell>
          <cell r="BA11">
            <v>7742</v>
          </cell>
          <cell r="BB11">
            <v>1101</v>
          </cell>
          <cell r="BC11">
            <v>1620</v>
          </cell>
          <cell r="BD11">
            <v>13248</v>
          </cell>
          <cell r="BE11">
            <v>774</v>
          </cell>
          <cell r="BF11">
            <v>830</v>
          </cell>
          <cell r="BG11">
            <v>2118</v>
          </cell>
          <cell r="BH11">
            <v>0</v>
          </cell>
          <cell r="BI11">
            <v>2917</v>
          </cell>
          <cell r="BJ11">
            <v>2630</v>
          </cell>
          <cell r="BK11">
            <v>287</v>
          </cell>
          <cell r="BL11">
            <v>5817</v>
          </cell>
          <cell r="BM11">
            <v>4094</v>
          </cell>
          <cell r="BN11">
            <v>1723</v>
          </cell>
          <cell r="BO11">
            <v>1349</v>
          </cell>
          <cell r="BP11">
            <v>2192</v>
          </cell>
          <cell r="BQ11">
            <v>2991</v>
          </cell>
          <cell r="BR11">
            <v>965</v>
          </cell>
          <cell r="BS11">
            <v>5647</v>
          </cell>
          <cell r="BT11">
            <v>1035</v>
          </cell>
          <cell r="BU11">
            <v>1607</v>
          </cell>
          <cell r="BV11">
            <v>4523</v>
          </cell>
          <cell r="BW11">
            <v>1593</v>
          </cell>
          <cell r="BX11">
            <v>621</v>
          </cell>
          <cell r="BY11">
            <v>4027</v>
          </cell>
          <cell r="BZ11">
            <v>3724</v>
          </cell>
          <cell r="CA11">
            <v>203</v>
          </cell>
          <cell r="CB11">
            <v>100</v>
          </cell>
          <cell r="CC11">
            <v>1200</v>
          </cell>
          <cell r="CD11">
            <v>25367</v>
          </cell>
          <cell r="CE11">
            <v>23971</v>
          </cell>
          <cell r="CF11">
            <v>1396</v>
          </cell>
          <cell r="CG11">
            <v>3734</v>
          </cell>
          <cell r="CH11">
            <v>577</v>
          </cell>
          <cell r="CI11">
            <v>878</v>
          </cell>
          <cell r="CJ11">
            <v>461</v>
          </cell>
          <cell r="CK11">
            <v>1739</v>
          </cell>
          <cell r="CL11">
            <v>5126</v>
          </cell>
          <cell r="CM11">
            <v>745</v>
          </cell>
          <cell r="CN11">
            <v>78516</v>
          </cell>
          <cell r="CO11">
            <v>9910</v>
          </cell>
          <cell r="CP11">
            <v>8849</v>
          </cell>
          <cell r="CQ11">
            <v>363</v>
          </cell>
          <cell r="CR11">
            <v>698</v>
          </cell>
          <cell r="CS11">
            <v>848</v>
          </cell>
          <cell r="CT11">
            <v>5637</v>
          </cell>
          <cell r="CU11">
            <v>2148</v>
          </cell>
          <cell r="CV11">
            <v>511</v>
          </cell>
          <cell r="CW11">
            <v>543</v>
          </cell>
          <cell r="CX11">
            <v>242</v>
          </cell>
          <cell r="CY11">
            <v>2678</v>
          </cell>
          <cell r="CZ11">
            <v>2264</v>
          </cell>
          <cell r="DA11">
            <v>1366</v>
          </cell>
        </row>
        <row r="12">
          <cell r="A12" t="str">
            <v>kWh</v>
          </cell>
          <cell r="B12" t="str">
            <v>YV</v>
          </cell>
          <cell r="C12">
            <v>2003</v>
          </cell>
          <cell r="D12">
            <v>43095892</v>
          </cell>
          <cell r="E12">
            <v>1400964679</v>
          </cell>
          <cell r="F12">
            <v>1132704213</v>
          </cell>
          <cell r="G12">
            <v>217523822</v>
          </cell>
          <cell r="H12">
            <v>914155229</v>
          </cell>
          <cell r="I12">
            <v>1621983270</v>
          </cell>
          <cell r="J12">
            <v>1457949580</v>
          </cell>
          <cell r="K12">
            <v>63632595</v>
          </cell>
          <cell r="L12">
            <v>32484068</v>
          </cell>
          <cell r="M12">
            <v>893653654</v>
          </cell>
          <cell r="N12">
            <v>30739470</v>
          </cell>
          <cell r="O12">
            <v>364621938</v>
          </cell>
          <cell r="P12">
            <v>26954399</v>
          </cell>
          <cell r="Q12">
            <v>8421470</v>
          </cell>
          <cell r="R12">
            <v>61908659.299999997</v>
          </cell>
          <cell r="S12">
            <v>182780776</v>
          </cell>
          <cell r="T12">
            <v>7860688083</v>
          </cell>
          <cell r="U12">
            <v>904313775</v>
          </cell>
          <cell r="V12">
            <v>357064704</v>
          </cell>
          <cell r="W12">
            <v>64447371</v>
          </cell>
          <cell r="X12">
            <v>574514918</v>
          </cell>
          <cell r="Y12">
            <v>627031302</v>
          </cell>
          <cell r="Z12">
            <v>284900636</v>
          </cell>
          <cell r="AA12">
            <v>80106927</v>
          </cell>
          <cell r="AB12">
            <v>10062249</v>
          </cell>
          <cell r="AC12">
            <v>411268868.19999999</v>
          </cell>
          <cell r="AD12">
            <v>940082897.10000002</v>
          </cell>
          <cell r="AE12">
            <v>876493833</v>
          </cell>
          <cell r="AF12">
            <v>63589064.100000001</v>
          </cell>
          <cell r="AG12">
            <v>156079163</v>
          </cell>
          <cell r="AH12">
            <v>1478910438</v>
          </cell>
          <cell r="AI12">
            <v>1464302127</v>
          </cell>
          <cell r="AJ12">
            <v>14608311</v>
          </cell>
          <cell r="AK12">
            <v>352419237</v>
          </cell>
          <cell r="AL12">
            <v>446024317</v>
          </cell>
          <cell r="AM12">
            <v>115380947</v>
          </cell>
          <cell r="AN12">
            <v>3097879811</v>
          </cell>
          <cell r="AO12">
            <v>1773144046</v>
          </cell>
          <cell r="AP12">
            <v>1324735765</v>
          </cell>
          <cell r="AQ12">
            <v>26545865</v>
          </cell>
          <cell r="AR12">
            <v>212661300.5</v>
          </cell>
          <cell r="AS12">
            <v>3440644511</v>
          </cell>
          <cell r="AT12">
            <v>22403641725</v>
          </cell>
          <cell r="AU12">
            <v>22383890000</v>
          </cell>
          <cell r="AV12">
            <v>19751725</v>
          </cell>
          <cell r="AW12">
            <v>7483288325</v>
          </cell>
          <cell r="AX12">
            <v>181647218</v>
          </cell>
          <cell r="AY12">
            <v>107599752</v>
          </cell>
          <cell r="AZ12">
            <v>717736043</v>
          </cell>
          <cell r="BA12">
            <v>1950945679</v>
          </cell>
          <cell r="BB12">
            <v>277498686</v>
          </cell>
          <cell r="BC12">
            <v>136446751</v>
          </cell>
          <cell r="BD12">
            <v>3339303820</v>
          </cell>
          <cell r="BE12">
            <v>169452219</v>
          </cell>
          <cell r="BF12">
            <v>228083608</v>
          </cell>
          <cell r="BG12">
            <v>585195347</v>
          </cell>
          <cell r="BH12">
            <v>0</v>
          </cell>
          <cell r="BI12">
            <v>677083143</v>
          </cell>
          <cell r="BJ12">
            <v>630630153</v>
          </cell>
          <cell r="BK12">
            <v>46452990</v>
          </cell>
          <cell r="BL12">
            <v>1141514050</v>
          </cell>
          <cell r="BM12">
            <v>805439736</v>
          </cell>
          <cell r="BN12">
            <v>336074314</v>
          </cell>
          <cell r="BO12">
            <v>166928066</v>
          </cell>
          <cell r="BP12">
            <v>349046084</v>
          </cell>
          <cell r="BQ12">
            <v>587011482</v>
          </cell>
          <cell r="BR12">
            <v>1606770496</v>
          </cell>
          <cell r="BS12">
            <v>1696547681</v>
          </cell>
          <cell r="BT12">
            <v>231212060</v>
          </cell>
          <cell r="BU12">
            <v>320550420</v>
          </cell>
          <cell r="BV12">
            <v>1192940488</v>
          </cell>
          <cell r="BW12">
            <v>205451211</v>
          </cell>
          <cell r="BX12">
            <v>93063317.200000003</v>
          </cell>
          <cell r="BY12">
            <v>805996163</v>
          </cell>
          <cell r="BZ12">
            <v>762746952</v>
          </cell>
          <cell r="CA12">
            <v>30841533</v>
          </cell>
          <cell r="CB12">
            <v>12407678</v>
          </cell>
          <cell r="CC12">
            <v>186758365</v>
          </cell>
          <cell r="CD12">
            <v>6220864456</v>
          </cell>
          <cell r="CE12">
            <v>5820961440</v>
          </cell>
          <cell r="CF12">
            <v>399903016</v>
          </cell>
          <cell r="CG12">
            <v>726783940</v>
          </cell>
          <cell r="CH12">
            <v>90960035</v>
          </cell>
          <cell r="CI12">
            <v>124591891</v>
          </cell>
          <cell r="CJ12">
            <v>91371270</v>
          </cell>
          <cell r="CK12">
            <v>359240700</v>
          </cell>
          <cell r="CL12">
            <v>1051685176</v>
          </cell>
          <cell r="CM12">
            <v>229514052</v>
          </cell>
          <cell r="CN12">
            <v>25604519834</v>
          </cell>
          <cell r="CO12">
            <v>2387224809</v>
          </cell>
          <cell r="CP12">
            <v>2262794351</v>
          </cell>
          <cell r="CQ12">
            <v>31211979</v>
          </cell>
          <cell r="CR12">
            <v>93218479</v>
          </cell>
          <cell r="CS12">
            <v>97838571.099999994</v>
          </cell>
          <cell r="CT12">
            <v>1222390968</v>
          </cell>
          <cell r="CU12">
            <v>469186419</v>
          </cell>
          <cell r="CV12">
            <v>88305059.200000003</v>
          </cell>
          <cell r="CW12">
            <v>145709728.80000001</v>
          </cell>
          <cell r="CX12">
            <v>67077032</v>
          </cell>
          <cell r="CY12">
            <v>441285683</v>
          </cell>
          <cell r="CZ12">
            <v>379870193</v>
          </cell>
          <cell r="DA12">
            <v>414447866</v>
          </cell>
        </row>
        <row r="13">
          <cell r="A13" t="str">
            <v>kWh - Residential</v>
          </cell>
          <cell r="B13" t="str">
            <v>YVR</v>
          </cell>
          <cell r="C13">
            <v>2003</v>
          </cell>
          <cell r="D13">
            <v>11627017</v>
          </cell>
          <cell r="E13">
            <v>502666838</v>
          </cell>
          <cell r="F13">
            <v>254632965</v>
          </cell>
          <cell r="G13">
            <v>72712385</v>
          </cell>
          <cell r="H13">
            <v>272936128</v>
          </cell>
          <cell r="I13">
            <v>512276282</v>
          </cell>
          <cell r="J13">
            <v>388937092</v>
          </cell>
          <cell r="K13">
            <v>42539902</v>
          </cell>
          <cell r="L13">
            <v>16533903</v>
          </cell>
          <cell r="M13">
            <v>248336123</v>
          </cell>
          <cell r="N13">
            <v>12304678</v>
          </cell>
          <cell r="O13">
            <v>110410786</v>
          </cell>
          <cell r="P13">
            <v>17212171</v>
          </cell>
          <cell r="Q13">
            <v>5187625</v>
          </cell>
          <cell r="R13">
            <v>22497821.100000001</v>
          </cell>
          <cell r="S13">
            <v>91843709</v>
          </cell>
          <cell r="T13">
            <v>1580499650</v>
          </cell>
          <cell r="U13">
            <v>654623819</v>
          </cell>
          <cell r="V13">
            <v>113382345</v>
          </cell>
          <cell r="W13">
            <v>33512634</v>
          </cell>
          <cell r="X13">
            <v>273772083</v>
          </cell>
          <cell r="Y13">
            <v>139699816</v>
          </cell>
          <cell r="Z13">
            <v>109924493</v>
          </cell>
          <cell r="AA13">
            <v>38593915</v>
          </cell>
          <cell r="AB13">
            <v>6338391</v>
          </cell>
          <cell r="AC13">
            <v>224343737.19999999</v>
          </cell>
          <cell r="AD13">
            <v>376581084.80000001</v>
          </cell>
          <cell r="AE13">
            <v>346190601</v>
          </cell>
          <cell r="AF13">
            <v>30390483.800000001</v>
          </cell>
          <cell r="AG13">
            <v>82695788</v>
          </cell>
          <cell r="AH13">
            <v>327017054</v>
          </cell>
          <cell r="AI13">
            <v>315749241</v>
          </cell>
          <cell r="AJ13">
            <v>11267813</v>
          </cell>
          <cell r="AK13">
            <v>175090852</v>
          </cell>
          <cell r="AL13">
            <v>193475522</v>
          </cell>
          <cell r="AM13">
            <v>28743822</v>
          </cell>
          <cell r="AN13">
            <v>1655935250</v>
          </cell>
          <cell r="AO13">
            <v>1265241117</v>
          </cell>
          <cell r="AP13">
            <v>390694133</v>
          </cell>
          <cell r="AQ13">
            <v>15460530</v>
          </cell>
          <cell r="AR13">
            <v>55615955.700000003</v>
          </cell>
          <cell r="AS13">
            <v>951203622</v>
          </cell>
          <cell r="AT13">
            <v>12001665099</v>
          </cell>
          <cell r="AU13">
            <v>11990590000</v>
          </cell>
          <cell r="AV13">
            <v>11075099</v>
          </cell>
          <cell r="AW13">
            <v>2241448529</v>
          </cell>
          <cell r="AX13">
            <v>155342162</v>
          </cell>
          <cell r="AY13">
            <v>40297068</v>
          </cell>
          <cell r="AZ13">
            <v>198090295</v>
          </cell>
          <cell r="BA13">
            <v>599398265</v>
          </cell>
          <cell r="BB13">
            <v>69597889</v>
          </cell>
          <cell r="BC13">
            <v>86696349</v>
          </cell>
          <cell r="BD13">
            <v>1117118053</v>
          </cell>
          <cell r="BE13">
            <v>59641045</v>
          </cell>
          <cell r="BF13">
            <v>49133690</v>
          </cell>
          <cell r="BG13">
            <v>158204235</v>
          </cell>
          <cell r="BH13">
            <v>0</v>
          </cell>
          <cell r="BI13">
            <v>255765590</v>
          </cell>
          <cell r="BJ13">
            <v>220723787</v>
          </cell>
          <cell r="BK13">
            <v>35041803</v>
          </cell>
          <cell r="BL13">
            <v>413694546</v>
          </cell>
          <cell r="BM13">
            <v>266116869</v>
          </cell>
          <cell r="BN13">
            <v>147577677</v>
          </cell>
          <cell r="BO13">
            <v>60565249</v>
          </cell>
          <cell r="BP13">
            <v>137538000</v>
          </cell>
          <cell r="BQ13">
            <v>214351021</v>
          </cell>
          <cell r="BR13">
            <v>1460697960</v>
          </cell>
          <cell r="BS13">
            <v>521555853</v>
          </cell>
          <cell r="BT13">
            <v>76392259</v>
          </cell>
          <cell r="BU13">
            <v>110928534</v>
          </cell>
          <cell r="BV13">
            <v>471232312</v>
          </cell>
          <cell r="BW13">
            <v>84423857</v>
          </cell>
          <cell r="BX13">
            <v>39860930.600000001</v>
          </cell>
          <cell r="BY13">
            <v>287513562</v>
          </cell>
          <cell r="BZ13">
            <v>268553821</v>
          </cell>
          <cell r="CA13">
            <v>12184312</v>
          </cell>
          <cell r="CB13">
            <v>6775429</v>
          </cell>
          <cell r="CC13">
            <v>67139016</v>
          </cell>
          <cell r="CD13">
            <v>1831852250</v>
          </cell>
          <cell r="CE13">
            <v>1691987964</v>
          </cell>
          <cell r="CF13">
            <v>139864286</v>
          </cell>
          <cell r="CG13">
            <v>358676526</v>
          </cell>
          <cell r="CH13">
            <v>31953378</v>
          </cell>
          <cell r="CI13">
            <v>45368680</v>
          </cell>
          <cell r="CJ13">
            <v>32459023</v>
          </cell>
          <cell r="CK13">
            <v>109532055</v>
          </cell>
          <cell r="CL13">
            <v>362446556</v>
          </cell>
          <cell r="CM13">
            <v>51828794</v>
          </cell>
          <cell r="CN13">
            <v>5420267739</v>
          </cell>
          <cell r="CO13">
            <v>896999316</v>
          </cell>
          <cell r="CP13">
            <v>827095470</v>
          </cell>
          <cell r="CQ13">
            <v>21111388</v>
          </cell>
          <cell r="CR13">
            <v>48792458</v>
          </cell>
          <cell r="CS13">
            <v>68095713.400000006</v>
          </cell>
          <cell r="CT13">
            <v>381918524</v>
          </cell>
          <cell r="CU13">
            <v>153768767</v>
          </cell>
          <cell r="CV13">
            <v>24614633.800000001</v>
          </cell>
          <cell r="CW13">
            <v>27326993</v>
          </cell>
          <cell r="CX13">
            <v>16293528</v>
          </cell>
          <cell r="CY13">
            <v>203822662</v>
          </cell>
          <cell r="CZ13">
            <v>306213554</v>
          </cell>
          <cell r="DA13">
            <v>90200388</v>
          </cell>
        </row>
        <row r="14">
          <cell r="A14" t="str">
            <v>kWh - Other</v>
          </cell>
          <cell r="B14" t="str">
            <v>YVO</v>
          </cell>
          <cell r="C14">
            <v>2003</v>
          </cell>
          <cell r="D14">
            <v>31468875</v>
          </cell>
          <cell r="E14">
            <v>898297841</v>
          </cell>
          <cell r="F14">
            <v>878071248</v>
          </cell>
          <cell r="G14">
            <v>144811437</v>
          </cell>
          <cell r="H14">
            <v>641219101</v>
          </cell>
          <cell r="I14">
            <v>1109706988</v>
          </cell>
          <cell r="J14">
            <v>1069012488</v>
          </cell>
          <cell r="K14">
            <v>21092693</v>
          </cell>
          <cell r="L14">
            <v>15950165</v>
          </cell>
          <cell r="M14">
            <v>645317531</v>
          </cell>
          <cell r="N14">
            <v>18434792</v>
          </cell>
          <cell r="O14">
            <v>254211152</v>
          </cell>
          <cell r="P14">
            <v>9742228</v>
          </cell>
          <cell r="Q14">
            <v>3233845</v>
          </cell>
          <cell r="R14">
            <v>39410838.199999996</v>
          </cell>
          <cell r="S14">
            <v>90937067</v>
          </cell>
          <cell r="T14">
            <v>6280188433</v>
          </cell>
          <cell r="U14">
            <v>249689956</v>
          </cell>
          <cell r="V14">
            <v>243682359</v>
          </cell>
          <cell r="W14">
            <v>30934737</v>
          </cell>
          <cell r="X14">
            <v>300742835</v>
          </cell>
          <cell r="Y14">
            <v>487331486</v>
          </cell>
          <cell r="Z14">
            <v>174976143</v>
          </cell>
          <cell r="AA14">
            <v>41513012</v>
          </cell>
          <cell r="AB14">
            <v>3723858</v>
          </cell>
          <cell r="AC14">
            <v>186925131</v>
          </cell>
          <cell r="AD14">
            <v>563501812.29999995</v>
          </cell>
          <cell r="AE14">
            <v>530303232</v>
          </cell>
          <cell r="AF14">
            <v>33198580.300000001</v>
          </cell>
          <cell r="AG14">
            <v>73383375</v>
          </cell>
          <cell r="AH14">
            <v>1151893384</v>
          </cell>
          <cell r="AI14">
            <v>1148552886</v>
          </cell>
          <cell r="AJ14">
            <v>3340498</v>
          </cell>
          <cell r="AK14">
            <v>177328385</v>
          </cell>
          <cell r="AL14">
            <v>252548795</v>
          </cell>
          <cell r="AM14">
            <v>86637125</v>
          </cell>
          <cell r="AN14">
            <v>1441944561</v>
          </cell>
          <cell r="AO14">
            <v>507902929</v>
          </cell>
          <cell r="AP14">
            <v>934041632</v>
          </cell>
          <cell r="AQ14">
            <v>11085335</v>
          </cell>
          <cell r="AR14">
            <v>157045344.80000001</v>
          </cell>
          <cell r="AS14">
            <v>2489440889</v>
          </cell>
          <cell r="AT14">
            <v>10401976626</v>
          </cell>
          <cell r="AU14">
            <v>10393300000</v>
          </cell>
          <cell r="AV14">
            <v>8676626</v>
          </cell>
          <cell r="AW14">
            <v>5241839796</v>
          </cell>
          <cell r="AX14">
            <v>26305056</v>
          </cell>
          <cell r="AY14">
            <v>67302684</v>
          </cell>
          <cell r="AZ14">
            <v>519645748</v>
          </cell>
          <cell r="BA14">
            <v>1351547414</v>
          </cell>
          <cell r="BB14">
            <v>207900797</v>
          </cell>
          <cell r="BC14">
            <v>49750402</v>
          </cell>
          <cell r="BD14">
            <v>2222185767</v>
          </cell>
          <cell r="BE14">
            <v>109811174</v>
          </cell>
          <cell r="BF14">
            <v>178949918</v>
          </cell>
          <cell r="BG14">
            <v>426991112</v>
          </cell>
          <cell r="BH14">
            <v>0</v>
          </cell>
          <cell r="BI14">
            <v>421317553</v>
          </cell>
          <cell r="BJ14">
            <v>409906366</v>
          </cell>
          <cell r="BK14">
            <v>11411187</v>
          </cell>
          <cell r="BL14">
            <v>727819504</v>
          </cell>
          <cell r="BM14">
            <v>539322867</v>
          </cell>
          <cell r="BN14">
            <v>188496637</v>
          </cell>
          <cell r="BO14">
            <v>106362817</v>
          </cell>
          <cell r="BP14">
            <v>211508084</v>
          </cell>
          <cell r="BQ14">
            <v>372660461</v>
          </cell>
          <cell r="BR14">
            <v>146072536</v>
          </cell>
          <cell r="BS14">
            <v>1174991828</v>
          </cell>
          <cell r="BT14">
            <v>154819801</v>
          </cell>
          <cell r="BU14">
            <v>209621886</v>
          </cell>
          <cell r="BV14">
            <v>721708176</v>
          </cell>
          <cell r="BW14">
            <v>121027354</v>
          </cell>
          <cell r="BX14">
            <v>53202386.600000001</v>
          </cell>
          <cell r="BY14">
            <v>518482601</v>
          </cell>
          <cell r="BZ14">
            <v>494193131</v>
          </cell>
          <cell r="CA14">
            <v>18657221</v>
          </cell>
          <cell r="CB14">
            <v>5632249</v>
          </cell>
          <cell r="CC14">
            <v>119619349</v>
          </cell>
          <cell r="CD14">
            <v>4389012206</v>
          </cell>
          <cell r="CE14">
            <v>4128973476</v>
          </cell>
          <cell r="CF14">
            <v>260038730</v>
          </cell>
          <cell r="CG14">
            <v>368107414</v>
          </cell>
          <cell r="CH14">
            <v>59006657</v>
          </cell>
          <cell r="CI14">
            <v>79223211</v>
          </cell>
          <cell r="CJ14">
            <v>58912247</v>
          </cell>
          <cell r="CK14">
            <v>249708645</v>
          </cell>
          <cell r="CL14">
            <v>689238620</v>
          </cell>
          <cell r="CM14">
            <v>177685258</v>
          </cell>
          <cell r="CN14">
            <v>20184252095</v>
          </cell>
          <cell r="CO14">
            <v>1490225493</v>
          </cell>
          <cell r="CP14">
            <v>1435698881</v>
          </cell>
          <cell r="CQ14">
            <v>10100591</v>
          </cell>
          <cell r="CR14">
            <v>44426021</v>
          </cell>
          <cell r="CS14">
            <v>29742857.699999988</v>
          </cell>
          <cell r="CT14">
            <v>840472444</v>
          </cell>
          <cell r="CU14">
            <v>315417652</v>
          </cell>
          <cell r="CV14">
            <v>63690425.400000006</v>
          </cell>
          <cell r="CW14">
            <v>118382735.80000001</v>
          </cell>
          <cell r="CX14">
            <v>50783504</v>
          </cell>
          <cell r="CY14">
            <v>237463021</v>
          </cell>
          <cell r="CZ14">
            <v>73656639</v>
          </cell>
          <cell r="DA14">
            <v>324247478</v>
          </cell>
        </row>
        <row r="15">
          <cell r="A15" t="str">
            <v>kW</v>
          </cell>
          <cell r="B15" t="str">
            <v>YD</v>
          </cell>
          <cell r="C15">
            <v>2003</v>
          </cell>
          <cell r="D15">
            <v>58809.4</v>
          </cell>
          <cell r="E15">
            <v>1801649</v>
          </cell>
          <cell r="F15">
            <v>1351160</v>
          </cell>
          <cell r="G15">
            <v>511049.8</v>
          </cell>
          <cell r="H15">
            <v>1420149</v>
          </cell>
          <cell r="I15">
            <v>2383058</v>
          </cell>
          <cell r="J15">
            <v>2394272</v>
          </cell>
          <cell r="K15">
            <v>249475</v>
          </cell>
          <cell r="L15">
            <v>25968.400000000001</v>
          </cell>
          <cell r="M15">
            <v>1409915</v>
          </cell>
          <cell r="N15">
            <v>28991</v>
          </cell>
          <cell r="O15">
            <v>694969</v>
          </cell>
          <cell r="P15">
            <v>14120</v>
          </cell>
          <cell r="Q15">
            <v>16889</v>
          </cell>
          <cell r="R15">
            <v>53879.5</v>
          </cell>
          <cell r="S15">
            <v>0</v>
          </cell>
          <cell r="T15">
            <v>12782616</v>
          </cell>
          <cell r="U15">
            <v>4977340</v>
          </cell>
          <cell r="V15">
            <v>495463</v>
          </cell>
          <cell r="W15">
            <v>0</v>
          </cell>
          <cell r="X15">
            <v>545959</v>
          </cell>
          <cell r="Y15">
            <v>993136</v>
          </cell>
          <cell r="Z15">
            <v>391333</v>
          </cell>
          <cell r="AA15">
            <v>59114.6</v>
          </cell>
          <cell r="AB15">
            <v>7145</v>
          </cell>
          <cell r="AC15">
            <v>202816.1</v>
          </cell>
          <cell r="AD15">
            <v>944749.8</v>
          </cell>
          <cell r="AE15">
            <v>889603</v>
          </cell>
          <cell r="AF15">
            <v>55146.8</v>
          </cell>
          <cell r="AG15">
            <v>175493</v>
          </cell>
          <cell r="AH15">
            <v>2343082</v>
          </cell>
          <cell r="AI15">
            <v>2341668</v>
          </cell>
          <cell r="AJ15">
            <v>1414</v>
          </cell>
          <cell r="AK15">
            <v>379343</v>
          </cell>
          <cell r="AL15">
            <v>743441</v>
          </cell>
          <cell r="AM15">
            <v>164041</v>
          </cell>
          <cell r="AN15">
            <v>9578633</v>
          </cell>
          <cell r="AO15">
            <v>7719371</v>
          </cell>
          <cell r="AP15">
            <v>1859262</v>
          </cell>
          <cell r="AQ15">
            <v>14034</v>
          </cell>
          <cell r="AR15">
            <v>291082.3</v>
          </cell>
          <cell r="AS15">
            <v>5282994</v>
          </cell>
          <cell r="AT15">
            <v>23751129</v>
          </cell>
          <cell r="AU15">
            <v>23734400</v>
          </cell>
          <cell r="AV15">
            <v>16729</v>
          </cell>
          <cell r="AW15">
            <v>9921167</v>
          </cell>
          <cell r="AX15">
            <v>129394</v>
          </cell>
          <cell r="AY15">
            <v>98881</v>
          </cell>
          <cell r="AZ15">
            <v>909871</v>
          </cell>
          <cell r="BA15">
            <v>2762488.6</v>
          </cell>
          <cell r="BB15">
            <v>381000</v>
          </cell>
          <cell r="BC15">
            <v>230551.2</v>
          </cell>
          <cell r="BD15">
            <v>4389396</v>
          </cell>
          <cell r="BE15">
            <v>309569</v>
          </cell>
          <cell r="BF15">
            <v>367853.7</v>
          </cell>
          <cell r="BG15">
            <v>858180</v>
          </cell>
          <cell r="BH15">
            <v>0</v>
          </cell>
          <cell r="BI15">
            <v>711394.6</v>
          </cell>
          <cell r="BJ15">
            <v>697536</v>
          </cell>
          <cell r="BK15">
            <v>13858.6</v>
          </cell>
          <cell r="BL15">
            <v>1849261</v>
          </cell>
          <cell r="BM15">
            <v>1148327</v>
          </cell>
          <cell r="BN15">
            <v>700934</v>
          </cell>
          <cell r="BO15">
            <v>200461</v>
          </cell>
          <cell r="BP15">
            <v>387967</v>
          </cell>
          <cell r="BQ15">
            <v>665975</v>
          </cell>
          <cell r="BR15">
            <v>174081</v>
          </cell>
          <cell r="BS15">
            <v>2457454</v>
          </cell>
          <cell r="BT15">
            <v>252702</v>
          </cell>
          <cell r="BU15">
            <v>433288</v>
          </cell>
          <cell r="BV15">
            <v>1376026</v>
          </cell>
          <cell r="BW15">
            <v>204354</v>
          </cell>
          <cell r="BX15">
            <v>0</v>
          </cell>
          <cell r="BY15">
            <v>927731</v>
          </cell>
          <cell r="BZ15">
            <v>892259</v>
          </cell>
          <cell r="CA15">
            <v>28968</v>
          </cell>
          <cell r="CB15">
            <v>6504</v>
          </cell>
          <cell r="CC15">
            <v>425272</v>
          </cell>
          <cell r="CD15">
            <v>9000740</v>
          </cell>
          <cell r="CE15">
            <v>8444358</v>
          </cell>
          <cell r="CF15">
            <v>556382</v>
          </cell>
          <cell r="CG15">
            <v>684762</v>
          </cell>
          <cell r="CH15">
            <v>126408</v>
          </cell>
          <cell r="CI15">
            <v>139135</v>
          </cell>
          <cell r="CJ15">
            <v>104683</v>
          </cell>
          <cell r="CK15">
            <v>537039</v>
          </cell>
          <cell r="CL15">
            <v>1461722</v>
          </cell>
          <cell r="CM15">
            <v>336511</v>
          </cell>
          <cell r="CN15">
            <v>43364987</v>
          </cell>
          <cell r="CO15">
            <v>2977183</v>
          </cell>
          <cell r="CP15">
            <v>2849630</v>
          </cell>
          <cell r="CQ15">
            <v>42598</v>
          </cell>
          <cell r="CR15">
            <v>84955</v>
          </cell>
          <cell r="CS15">
            <v>44049.599999999999</v>
          </cell>
          <cell r="CT15">
            <v>1725335</v>
          </cell>
          <cell r="CU15">
            <v>737118</v>
          </cell>
          <cell r="CV15">
            <v>121352.4</v>
          </cell>
          <cell r="CW15">
            <v>248016.2</v>
          </cell>
          <cell r="CX15">
            <v>90555</v>
          </cell>
          <cell r="CY15">
            <v>0</v>
          </cell>
          <cell r="CZ15">
            <v>928997</v>
          </cell>
          <cell r="DA15">
            <v>0</v>
          </cell>
        </row>
        <row r="16">
          <cell r="A16" t="str">
            <v>kW - Residential</v>
          </cell>
          <cell r="B16" t="str">
            <v>YDR</v>
          </cell>
          <cell r="C16">
            <v>2003</v>
          </cell>
          <cell r="D16">
            <v>0</v>
          </cell>
          <cell r="E16">
            <v>0</v>
          </cell>
          <cell r="F16">
            <v>0</v>
          </cell>
          <cell r="G16">
            <v>0</v>
          </cell>
          <cell r="H16">
            <v>0</v>
          </cell>
          <cell r="I16">
            <v>0</v>
          </cell>
          <cell r="J16">
            <v>0</v>
          </cell>
          <cell r="K16">
            <v>0</v>
          </cell>
          <cell r="L16">
            <v>0</v>
          </cell>
          <cell r="M16">
            <v>0</v>
          </cell>
          <cell r="N16">
            <v>0</v>
          </cell>
          <cell r="O16">
            <v>230237</v>
          </cell>
          <cell r="P16">
            <v>0</v>
          </cell>
          <cell r="Q16">
            <v>9232</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502</v>
          </cell>
          <cell r="AM16">
            <v>0</v>
          </cell>
          <cell r="AN16">
            <v>0</v>
          </cell>
          <cell r="AO16">
            <v>0</v>
          </cell>
          <cell r="AP16">
            <v>0</v>
          </cell>
          <cell r="AQ16">
            <v>0</v>
          </cell>
          <cell r="AR16">
            <v>0</v>
          </cell>
          <cell r="AS16">
            <v>0</v>
          </cell>
          <cell r="AT16">
            <v>369100</v>
          </cell>
          <cell r="AU16">
            <v>369100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row>
        <row r="17">
          <cell r="A17" t="str">
            <v>kW - Other</v>
          </cell>
          <cell r="B17" t="str">
            <v>YDO</v>
          </cell>
          <cell r="C17">
            <v>2003</v>
          </cell>
          <cell r="D17">
            <v>58809.4</v>
          </cell>
          <cell r="E17">
            <v>1801649</v>
          </cell>
          <cell r="F17">
            <v>1351160</v>
          </cell>
          <cell r="G17">
            <v>511049.8</v>
          </cell>
          <cell r="H17">
            <v>1420149</v>
          </cell>
          <cell r="I17">
            <v>2383058</v>
          </cell>
          <cell r="J17">
            <v>2394272</v>
          </cell>
          <cell r="K17">
            <v>249475</v>
          </cell>
          <cell r="L17">
            <v>25968.400000000001</v>
          </cell>
          <cell r="M17">
            <v>1409915</v>
          </cell>
          <cell r="N17">
            <v>28991</v>
          </cell>
          <cell r="O17">
            <v>464732</v>
          </cell>
          <cell r="P17">
            <v>14120</v>
          </cell>
          <cell r="Q17">
            <v>7657</v>
          </cell>
          <cell r="R17">
            <v>53879.5</v>
          </cell>
          <cell r="S17">
            <v>0</v>
          </cell>
          <cell r="T17">
            <v>12782616</v>
          </cell>
          <cell r="U17">
            <v>4977340</v>
          </cell>
          <cell r="V17">
            <v>495463</v>
          </cell>
          <cell r="W17">
            <v>0</v>
          </cell>
          <cell r="X17">
            <v>545959</v>
          </cell>
          <cell r="Y17">
            <v>993136</v>
          </cell>
          <cell r="Z17">
            <v>391333</v>
          </cell>
          <cell r="AA17">
            <v>59114.6</v>
          </cell>
          <cell r="AB17">
            <v>7145</v>
          </cell>
          <cell r="AC17">
            <v>202816.1</v>
          </cell>
          <cell r="AD17">
            <v>944749.8</v>
          </cell>
          <cell r="AE17">
            <v>889603</v>
          </cell>
          <cell r="AF17">
            <v>55146.8</v>
          </cell>
          <cell r="AG17">
            <v>175493</v>
          </cell>
          <cell r="AH17">
            <v>2343082</v>
          </cell>
          <cell r="AI17">
            <v>2341668</v>
          </cell>
          <cell r="AJ17">
            <v>1414</v>
          </cell>
          <cell r="AK17">
            <v>379343</v>
          </cell>
          <cell r="AL17">
            <v>742939</v>
          </cell>
          <cell r="AM17">
            <v>164041</v>
          </cell>
          <cell r="AN17">
            <v>9578633</v>
          </cell>
          <cell r="AO17">
            <v>7719371</v>
          </cell>
          <cell r="AP17">
            <v>1859262</v>
          </cell>
          <cell r="AQ17">
            <v>14034</v>
          </cell>
          <cell r="AR17">
            <v>291082.3</v>
          </cell>
          <cell r="AS17">
            <v>5282994</v>
          </cell>
          <cell r="AT17">
            <v>23382029</v>
          </cell>
          <cell r="AU17">
            <v>23365300</v>
          </cell>
          <cell r="AV17">
            <v>16729</v>
          </cell>
          <cell r="AW17">
            <v>9921167</v>
          </cell>
          <cell r="AX17">
            <v>129394</v>
          </cell>
          <cell r="AY17">
            <v>98881</v>
          </cell>
          <cell r="AZ17">
            <v>909871</v>
          </cell>
          <cell r="BA17">
            <v>2762488.6</v>
          </cell>
          <cell r="BB17">
            <v>381000</v>
          </cell>
          <cell r="BC17">
            <v>230551.2</v>
          </cell>
          <cell r="BD17">
            <v>4389396</v>
          </cell>
          <cell r="BE17">
            <v>309569</v>
          </cell>
          <cell r="BF17">
            <v>367853.7</v>
          </cell>
          <cell r="BG17">
            <v>858180</v>
          </cell>
          <cell r="BH17">
            <v>0</v>
          </cell>
          <cell r="BI17">
            <v>711394.6</v>
          </cell>
          <cell r="BJ17">
            <v>697536</v>
          </cell>
          <cell r="BK17">
            <v>13858.6</v>
          </cell>
          <cell r="BL17">
            <v>1849261</v>
          </cell>
          <cell r="BM17">
            <v>1148327</v>
          </cell>
          <cell r="BN17">
            <v>700934</v>
          </cell>
          <cell r="BO17">
            <v>200461</v>
          </cell>
          <cell r="BP17">
            <v>387967</v>
          </cell>
          <cell r="BQ17">
            <v>665975</v>
          </cell>
          <cell r="BR17">
            <v>174081</v>
          </cell>
          <cell r="BS17">
            <v>2457454</v>
          </cell>
          <cell r="BT17">
            <v>252702</v>
          </cell>
          <cell r="BU17">
            <v>433288</v>
          </cell>
          <cell r="BV17">
            <v>1376026</v>
          </cell>
          <cell r="BW17">
            <v>204354</v>
          </cell>
          <cell r="BX17">
            <v>0</v>
          </cell>
          <cell r="BY17">
            <v>927731</v>
          </cell>
          <cell r="BZ17">
            <v>892259</v>
          </cell>
          <cell r="CA17">
            <v>28968</v>
          </cell>
          <cell r="CB17">
            <v>6504</v>
          </cell>
          <cell r="CC17">
            <v>425272</v>
          </cell>
          <cell r="CD17">
            <v>9000740</v>
          </cell>
          <cell r="CE17">
            <v>8444358</v>
          </cell>
          <cell r="CF17">
            <v>556382</v>
          </cell>
          <cell r="CG17">
            <v>684762</v>
          </cell>
          <cell r="CH17">
            <v>126408</v>
          </cell>
          <cell r="CI17">
            <v>139135</v>
          </cell>
          <cell r="CJ17">
            <v>104683</v>
          </cell>
          <cell r="CK17">
            <v>537039</v>
          </cell>
          <cell r="CL17">
            <v>1461722</v>
          </cell>
          <cell r="CM17">
            <v>336511</v>
          </cell>
          <cell r="CN17">
            <v>43364987</v>
          </cell>
          <cell r="CO17">
            <v>2977183</v>
          </cell>
          <cell r="CP17">
            <v>2849630</v>
          </cell>
          <cell r="CQ17">
            <v>42598</v>
          </cell>
          <cell r="CR17">
            <v>84955</v>
          </cell>
          <cell r="CS17">
            <v>44049.599999999999</v>
          </cell>
          <cell r="CT17">
            <v>1725335</v>
          </cell>
          <cell r="CU17">
            <v>737118</v>
          </cell>
          <cell r="CV17">
            <v>121352.4</v>
          </cell>
          <cell r="CW17">
            <v>248016.2</v>
          </cell>
          <cell r="CX17">
            <v>90555</v>
          </cell>
          <cell r="CY17">
            <v>0</v>
          </cell>
          <cell r="CZ17">
            <v>928997</v>
          </cell>
          <cell r="DA17">
            <v>0</v>
          </cell>
        </row>
        <row r="18">
          <cell r="A18" t="str">
            <v>Total service area</v>
          </cell>
          <cell r="B18" t="str">
            <v>AREA</v>
          </cell>
          <cell r="C18">
            <v>2003</v>
          </cell>
          <cell r="D18">
            <v>380.25</v>
          </cell>
          <cell r="E18">
            <v>374</v>
          </cell>
          <cell r="F18">
            <v>201.3</v>
          </cell>
          <cell r="G18">
            <v>257.5</v>
          </cell>
          <cell r="H18">
            <v>74</v>
          </cell>
          <cell r="I18">
            <v>188.16</v>
          </cell>
          <cell r="J18">
            <v>303</v>
          </cell>
          <cell r="K18">
            <v>10.77</v>
          </cell>
          <cell r="L18">
            <v>2</v>
          </cell>
          <cell r="M18">
            <v>70</v>
          </cell>
          <cell r="N18">
            <v>4.78</v>
          </cell>
          <cell r="O18">
            <v>57.8</v>
          </cell>
          <cell r="P18">
            <v>5.3</v>
          </cell>
          <cell r="Q18">
            <v>2</v>
          </cell>
          <cell r="R18">
            <v>66</v>
          </cell>
          <cell r="S18">
            <v>21.26</v>
          </cell>
          <cell r="T18">
            <v>287</v>
          </cell>
          <cell r="U18">
            <v>120</v>
          </cell>
          <cell r="V18">
            <v>46.96</v>
          </cell>
          <cell r="W18">
            <v>99</v>
          </cell>
          <cell r="X18">
            <v>104.56</v>
          </cell>
          <cell r="Y18">
            <v>44.66</v>
          </cell>
          <cell r="Z18">
            <v>168</v>
          </cell>
          <cell r="AA18">
            <v>26.5</v>
          </cell>
          <cell r="AB18">
            <v>1.5</v>
          </cell>
          <cell r="AC18">
            <v>13600</v>
          </cell>
          <cell r="AD18">
            <v>411.5</v>
          </cell>
          <cell r="AE18">
            <v>402.5</v>
          </cell>
          <cell r="AF18">
            <v>9</v>
          </cell>
          <cell r="AG18">
            <v>68</v>
          </cell>
          <cell r="AH18">
            <v>93</v>
          </cell>
          <cell r="AI18">
            <v>89</v>
          </cell>
          <cell r="AJ18">
            <v>4</v>
          </cell>
          <cell r="AK18">
            <v>1275</v>
          </cell>
          <cell r="AL18">
            <v>280.7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0</v>
          </cell>
          <cell r="BI18">
            <v>88</v>
          </cell>
          <cell r="BJ18">
            <v>41</v>
          </cell>
          <cell r="BK18">
            <v>47</v>
          </cell>
          <cell r="BL18">
            <v>774.8</v>
          </cell>
          <cell r="BM18">
            <v>207</v>
          </cell>
          <cell r="BN18">
            <v>567.79999999999995</v>
          </cell>
          <cell r="BO18">
            <v>125</v>
          </cell>
          <cell r="BP18">
            <v>693</v>
          </cell>
          <cell r="BQ18">
            <v>330</v>
          </cell>
          <cell r="BR18">
            <v>28</v>
          </cell>
          <cell r="BS18">
            <v>143</v>
          </cell>
          <cell r="BT18">
            <v>15.5</v>
          </cell>
          <cell r="BU18">
            <v>26.56</v>
          </cell>
          <cell r="BV18">
            <v>143</v>
          </cell>
          <cell r="BW18">
            <v>35.6</v>
          </cell>
          <cell r="BX18">
            <v>15</v>
          </cell>
          <cell r="BY18">
            <v>63.9</v>
          </cell>
          <cell r="BZ18">
            <v>58.61</v>
          </cell>
          <cell r="CA18">
            <v>2.97</v>
          </cell>
          <cell r="CB18">
            <v>2.3199999999999998</v>
          </cell>
          <cell r="CC18">
            <v>123.37</v>
          </cell>
          <cell r="CD18">
            <v>619</v>
          </cell>
          <cell r="CE18">
            <v>575</v>
          </cell>
          <cell r="CF18">
            <v>44</v>
          </cell>
          <cell r="CG18">
            <v>342</v>
          </cell>
          <cell r="CH18">
            <v>13</v>
          </cell>
          <cell r="CI18">
            <v>18.7</v>
          </cell>
          <cell r="CJ18">
            <v>536</v>
          </cell>
          <cell r="CK18">
            <v>32</v>
          </cell>
          <cell r="CL18">
            <v>381.15</v>
          </cell>
          <cell r="CM18">
            <v>9</v>
          </cell>
          <cell r="CN18">
            <v>650</v>
          </cell>
          <cell r="CO18">
            <v>639.1</v>
          </cell>
          <cell r="CP18">
            <v>414.5</v>
          </cell>
          <cell r="CQ18">
            <v>3.6</v>
          </cell>
          <cell r="CR18">
            <v>221</v>
          </cell>
          <cell r="CS18">
            <v>61</v>
          </cell>
          <cell r="CT18">
            <v>656</v>
          </cell>
          <cell r="CU18">
            <v>86</v>
          </cell>
          <cell r="CV18">
            <v>14</v>
          </cell>
          <cell r="CW18">
            <v>11.5</v>
          </cell>
          <cell r="CX18">
            <v>685</v>
          </cell>
          <cell r="CY18">
            <v>49.16</v>
          </cell>
          <cell r="CZ18">
            <v>147.24</v>
          </cell>
          <cell r="DA18">
            <v>31.15</v>
          </cell>
        </row>
        <row r="19">
          <cell r="A19" t="str">
            <v>Urban service area</v>
          </cell>
          <cell r="B19" t="str">
            <v>AREAURB</v>
          </cell>
          <cell r="C19">
            <v>2003</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12987</v>
          </cell>
          <cell r="AD19">
            <v>120.75</v>
          </cell>
          <cell r="AE19">
            <v>120.75</v>
          </cell>
          <cell r="AF19">
            <v>0</v>
          </cell>
          <cell r="AG19">
            <v>45</v>
          </cell>
          <cell r="AH19">
            <v>0</v>
          </cell>
          <cell r="AI19">
            <v>0</v>
          </cell>
          <cell r="AJ19">
            <v>0</v>
          </cell>
          <cell r="AK19">
            <v>1225</v>
          </cell>
          <cell r="AL19">
            <v>255.8</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0</v>
          </cell>
          <cell r="BG19">
            <v>372.4</v>
          </cell>
          <cell r="BH19">
            <v>0</v>
          </cell>
          <cell r="BI19">
            <v>22</v>
          </cell>
          <cell r="BJ19">
            <v>0</v>
          </cell>
          <cell r="BK19">
            <v>22</v>
          </cell>
          <cell r="BL19">
            <v>511.02</v>
          </cell>
          <cell r="BM19">
            <v>0</v>
          </cell>
          <cell r="BN19">
            <v>511.02</v>
          </cell>
          <cell r="BO19">
            <v>111</v>
          </cell>
          <cell r="BP19">
            <v>549</v>
          </cell>
          <cell r="BQ19">
            <v>279</v>
          </cell>
          <cell r="BR19">
            <v>0</v>
          </cell>
          <cell r="BS19">
            <v>41</v>
          </cell>
          <cell r="BT19">
            <v>15.5</v>
          </cell>
          <cell r="BU19">
            <v>0</v>
          </cell>
          <cell r="BV19">
            <v>74.36</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326.14999999999998</v>
          </cell>
          <cell r="CM19">
            <v>1</v>
          </cell>
          <cell r="CN19">
            <v>0</v>
          </cell>
          <cell r="CO19">
            <v>386</v>
          </cell>
          <cell r="CP19">
            <v>175</v>
          </cell>
          <cell r="CQ19">
            <v>0</v>
          </cell>
          <cell r="CR19">
            <v>211</v>
          </cell>
          <cell r="CS19">
            <v>8</v>
          </cell>
          <cell r="CT19">
            <v>590</v>
          </cell>
          <cell r="CU19">
            <v>0</v>
          </cell>
          <cell r="CV19">
            <v>0</v>
          </cell>
          <cell r="CW19">
            <v>0</v>
          </cell>
          <cell r="CX19">
            <v>677.5</v>
          </cell>
          <cell r="CY19">
            <v>0</v>
          </cell>
          <cell r="CZ19">
            <v>76.03</v>
          </cell>
          <cell r="DA19">
            <v>0</v>
          </cell>
        </row>
        <row r="20">
          <cell r="A20" t="str">
            <v>Rural service area</v>
          </cell>
          <cell r="B20" t="str">
            <v>AREARUR</v>
          </cell>
          <cell r="C20">
            <v>2003</v>
          </cell>
          <cell r="D20">
            <v>380.25</v>
          </cell>
          <cell r="E20">
            <v>363</v>
          </cell>
          <cell r="F20">
            <v>54</v>
          </cell>
          <cell r="G20">
            <v>17.5</v>
          </cell>
          <cell r="H20">
            <v>74</v>
          </cell>
          <cell r="I20">
            <v>97.77</v>
          </cell>
          <cell r="J20">
            <v>90</v>
          </cell>
          <cell r="K20">
            <v>10.77</v>
          </cell>
          <cell r="L20">
            <v>2</v>
          </cell>
          <cell r="M20">
            <v>70</v>
          </cell>
          <cell r="N20">
            <v>4.78</v>
          </cell>
          <cell r="O20">
            <v>57.8</v>
          </cell>
          <cell r="P20">
            <v>5.3</v>
          </cell>
          <cell r="Q20">
            <v>2</v>
          </cell>
          <cell r="R20">
            <v>18</v>
          </cell>
          <cell r="S20">
            <v>21.26</v>
          </cell>
          <cell r="T20">
            <v>287</v>
          </cell>
          <cell r="U20">
            <v>120</v>
          </cell>
          <cell r="V20">
            <v>46.96</v>
          </cell>
          <cell r="W20">
            <v>26</v>
          </cell>
          <cell r="X20">
            <v>66.56</v>
          </cell>
          <cell r="Y20">
            <v>44.66</v>
          </cell>
          <cell r="Z20">
            <v>35</v>
          </cell>
          <cell r="AA20">
            <v>26.5</v>
          </cell>
          <cell r="AB20">
            <v>1.5</v>
          </cell>
          <cell r="AC20">
            <v>613</v>
          </cell>
          <cell r="AD20">
            <v>290.75</v>
          </cell>
          <cell r="AE20">
            <v>281.75</v>
          </cell>
          <cell r="AF20">
            <v>9</v>
          </cell>
          <cell r="AG20">
            <v>23</v>
          </cell>
          <cell r="AH20">
            <v>93</v>
          </cell>
          <cell r="AI20">
            <v>89</v>
          </cell>
          <cell r="AJ20">
            <v>4</v>
          </cell>
          <cell r="AK20">
            <v>50</v>
          </cell>
          <cell r="AL20">
            <v>24.9</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20</v>
          </cell>
          <cell r="BG20">
            <v>8.6</v>
          </cell>
          <cell r="BH20">
            <v>0</v>
          </cell>
          <cell r="BI20">
            <v>66</v>
          </cell>
          <cell r="BJ20">
            <v>41</v>
          </cell>
          <cell r="BK20">
            <v>25</v>
          </cell>
          <cell r="BL20">
            <v>263.77999999999997</v>
          </cell>
          <cell r="BM20">
            <v>207</v>
          </cell>
          <cell r="BN20">
            <v>56.78</v>
          </cell>
          <cell r="BO20">
            <v>14</v>
          </cell>
          <cell r="BP20">
            <v>144</v>
          </cell>
          <cell r="BQ20">
            <v>51</v>
          </cell>
          <cell r="BR20">
            <v>28</v>
          </cell>
          <cell r="BS20">
            <v>102</v>
          </cell>
          <cell r="BT20">
            <v>0</v>
          </cell>
          <cell r="BU20">
            <v>26.56</v>
          </cell>
          <cell r="BV20">
            <v>68.64</v>
          </cell>
          <cell r="BW20">
            <v>35.6</v>
          </cell>
          <cell r="BX20">
            <v>15</v>
          </cell>
          <cell r="BY20">
            <v>63.9</v>
          </cell>
          <cell r="BZ20">
            <v>58.61</v>
          </cell>
          <cell r="CA20">
            <v>2.97</v>
          </cell>
          <cell r="CB20">
            <v>2.3199999999999998</v>
          </cell>
          <cell r="CC20">
            <v>20.43</v>
          </cell>
          <cell r="CD20">
            <v>562</v>
          </cell>
          <cell r="CE20">
            <v>518</v>
          </cell>
          <cell r="CF20">
            <v>44</v>
          </cell>
          <cell r="CG20">
            <v>58</v>
          </cell>
          <cell r="CH20">
            <v>13</v>
          </cell>
          <cell r="CI20">
            <v>11.5</v>
          </cell>
          <cell r="CJ20">
            <v>6</v>
          </cell>
          <cell r="CK20">
            <v>32</v>
          </cell>
          <cell r="CL20">
            <v>55</v>
          </cell>
          <cell r="CM20">
            <v>8</v>
          </cell>
          <cell r="CN20">
            <v>650</v>
          </cell>
          <cell r="CO20">
            <v>253.1</v>
          </cell>
          <cell r="CP20">
            <v>239.5</v>
          </cell>
          <cell r="CQ20">
            <v>3.6</v>
          </cell>
          <cell r="CR20">
            <v>10</v>
          </cell>
          <cell r="CS20">
            <v>53</v>
          </cell>
          <cell r="CT20">
            <v>66</v>
          </cell>
          <cell r="CU20">
            <v>86</v>
          </cell>
          <cell r="CV20">
            <v>14</v>
          </cell>
          <cell r="CW20">
            <v>11.5</v>
          </cell>
          <cell r="CX20">
            <v>7.5</v>
          </cell>
          <cell r="CY20">
            <v>49.16</v>
          </cell>
          <cell r="CZ20">
            <v>71.209999999999994</v>
          </cell>
          <cell r="DA20">
            <v>31.15</v>
          </cell>
        </row>
        <row r="21">
          <cell r="A21" t="str">
            <v>Service area population</v>
          </cell>
          <cell r="B21" t="str">
            <v>POP</v>
          </cell>
          <cell r="C21">
            <v>2003</v>
          </cell>
          <cell r="D21">
            <v>3000</v>
          </cell>
          <cell r="E21">
            <v>159914</v>
          </cell>
          <cell r="F21">
            <v>83178</v>
          </cell>
          <cell r="G21">
            <v>24000</v>
          </cell>
          <cell r="H21">
            <v>88300</v>
          </cell>
          <cell r="I21">
            <v>156900</v>
          </cell>
          <cell r="J21">
            <v>127000</v>
          </cell>
          <cell r="K21">
            <v>17500</v>
          </cell>
          <cell r="L21">
            <v>3000</v>
          </cell>
          <cell r="M21">
            <v>94769</v>
          </cell>
          <cell r="N21">
            <v>3100</v>
          </cell>
          <cell r="O21">
            <v>21100</v>
          </cell>
          <cell r="P21">
            <v>3800</v>
          </cell>
          <cell r="Q21">
            <v>1425</v>
          </cell>
          <cell r="R21">
            <v>6700</v>
          </cell>
          <cell r="S21">
            <v>23009</v>
          </cell>
          <cell r="T21">
            <v>680000</v>
          </cell>
          <cell r="U21">
            <v>208402</v>
          </cell>
          <cell r="V21">
            <v>32542</v>
          </cell>
          <cell r="W21">
            <v>7138</v>
          </cell>
          <cell r="X21">
            <v>67195</v>
          </cell>
          <cell r="Y21">
            <v>42152</v>
          </cell>
          <cell r="Z21">
            <v>27750</v>
          </cell>
          <cell r="AA21">
            <v>8790</v>
          </cell>
          <cell r="AB21">
            <v>1600</v>
          </cell>
          <cell r="AC21">
            <v>18347</v>
          </cell>
          <cell r="AD21">
            <v>103906</v>
          </cell>
          <cell r="AE21">
            <v>97200</v>
          </cell>
          <cell r="AF21">
            <v>6706</v>
          </cell>
          <cell r="AG21">
            <v>21500</v>
          </cell>
          <cell r="AH21">
            <v>112926</v>
          </cell>
          <cell r="AI21">
            <v>109704</v>
          </cell>
          <cell r="AJ21">
            <v>3222</v>
          </cell>
          <cell r="AK21">
            <v>43728</v>
          </cell>
          <cell r="AL21">
            <v>53000</v>
          </cell>
          <cell r="AM21">
            <v>5825</v>
          </cell>
          <cell r="AN21">
            <v>579258</v>
          </cell>
          <cell r="AO21">
            <v>445000</v>
          </cell>
          <cell r="AP21">
            <v>134258</v>
          </cell>
          <cell r="AQ21">
            <v>2433</v>
          </cell>
          <cell r="AR21">
            <v>10300</v>
          </cell>
          <cell r="AS21">
            <v>360000</v>
          </cell>
          <cell r="AT21">
            <v>2472200</v>
          </cell>
          <cell r="AU21">
            <v>2470000</v>
          </cell>
          <cell r="AV21">
            <v>2200</v>
          </cell>
          <cell r="AW21">
            <v>758500</v>
          </cell>
          <cell r="AX21">
            <v>29698</v>
          </cell>
          <cell r="AY21">
            <v>12000</v>
          </cell>
          <cell r="AZ21">
            <v>58000</v>
          </cell>
          <cell r="BA21">
            <v>216510</v>
          </cell>
          <cell r="BB21">
            <v>22000</v>
          </cell>
          <cell r="BC21">
            <v>21007</v>
          </cell>
          <cell r="BD21">
            <v>334000</v>
          </cell>
          <cell r="BE21">
            <v>19756</v>
          </cell>
          <cell r="BF21">
            <v>15450</v>
          </cell>
          <cell r="BG21">
            <v>47400</v>
          </cell>
          <cell r="BH21">
            <v>0</v>
          </cell>
          <cell r="BI21">
            <v>74967</v>
          </cell>
          <cell r="BJ21">
            <v>70622</v>
          </cell>
          <cell r="BK21">
            <v>4345</v>
          </cell>
          <cell r="BL21">
            <v>121281</v>
          </cell>
          <cell r="BM21">
            <v>81581</v>
          </cell>
          <cell r="BN21">
            <v>39700</v>
          </cell>
          <cell r="BO21">
            <v>13839</v>
          </cell>
          <cell r="BP21">
            <v>31000</v>
          </cell>
          <cell r="BQ21">
            <v>53000</v>
          </cell>
          <cell r="BR21">
            <v>14000</v>
          </cell>
          <cell r="BS21">
            <v>152400</v>
          </cell>
          <cell r="BT21">
            <v>26886</v>
          </cell>
          <cell r="BU21">
            <v>30000</v>
          </cell>
          <cell r="BV21">
            <v>148300</v>
          </cell>
          <cell r="BW21">
            <v>20200</v>
          </cell>
          <cell r="BX21">
            <v>6500</v>
          </cell>
          <cell r="BY21">
            <v>78565</v>
          </cell>
          <cell r="BZ21">
            <v>74740</v>
          </cell>
          <cell r="CA21">
            <v>2479</v>
          </cell>
          <cell r="CB21">
            <v>1346</v>
          </cell>
          <cell r="CC21">
            <v>18450</v>
          </cell>
          <cell r="CD21">
            <v>656000</v>
          </cell>
          <cell r="CE21">
            <v>612000</v>
          </cell>
          <cell r="CF21">
            <v>44000</v>
          </cell>
          <cell r="CG21">
            <v>78000</v>
          </cell>
          <cell r="CH21">
            <v>8125</v>
          </cell>
          <cell r="CI21">
            <v>9900</v>
          </cell>
          <cell r="CJ21">
            <v>5336</v>
          </cell>
          <cell r="CK21">
            <v>32000</v>
          </cell>
          <cell r="CL21">
            <v>109615</v>
          </cell>
          <cell r="CM21">
            <v>15140</v>
          </cell>
          <cell r="CN21">
            <v>2500000</v>
          </cell>
          <cell r="CO21">
            <v>302412</v>
          </cell>
          <cell r="CP21">
            <v>283800</v>
          </cell>
          <cell r="CQ21">
            <v>7500</v>
          </cell>
          <cell r="CR21">
            <v>11112</v>
          </cell>
          <cell r="CS21">
            <v>15000</v>
          </cell>
          <cell r="CT21">
            <v>135430</v>
          </cell>
          <cell r="CU21">
            <v>48405</v>
          </cell>
          <cell r="CV21">
            <v>6400</v>
          </cell>
          <cell r="CW21">
            <v>7411</v>
          </cell>
          <cell r="CX21">
            <v>4000</v>
          </cell>
          <cell r="CY21">
            <v>40800</v>
          </cell>
          <cell r="CZ21">
            <v>100000</v>
          </cell>
          <cell r="DA21">
            <v>33800</v>
          </cell>
        </row>
        <row r="22">
          <cell r="A22" t="str">
            <v>Municipal population</v>
          </cell>
          <cell r="B22" t="str">
            <v>POPCITY</v>
          </cell>
          <cell r="C22">
            <v>2003</v>
          </cell>
          <cell r="D22">
            <v>3000</v>
          </cell>
          <cell r="E22">
            <v>173820</v>
          </cell>
          <cell r="F22">
            <v>85488</v>
          </cell>
          <cell r="G22">
            <v>30000</v>
          </cell>
          <cell r="H22">
            <v>88300</v>
          </cell>
          <cell r="I22">
            <v>156900</v>
          </cell>
          <cell r="J22">
            <v>127000</v>
          </cell>
          <cell r="K22">
            <v>25000</v>
          </cell>
          <cell r="L22">
            <v>3000</v>
          </cell>
          <cell r="M22">
            <v>107341</v>
          </cell>
          <cell r="N22">
            <v>3100</v>
          </cell>
          <cell r="O22">
            <v>21100</v>
          </cell>
          <cell r="P22">
            <v>12500</v>
          </cell>
          <cell r="Q22">
            <v>4300</v>
          </cell>
          <cell r="R22">
            <v>5000</v>
          </cell>
          <cell r="S22">
            <v>65299</v>
          </cell>
          <cell r="T22">
            <v>680000</v>
          </cell>
          <cell r="U22">
            <v>208402</v>
          </cell>
          <cell r="V22">
            <v>62569</v>
          </cell>
          <cell r="W22">
            <v>8700</v>
          </cell>
          <cell r="X22">
            <v>97867</v>
          </cell>
          <cell r="Y22">
            <v>42152</v>
          </cell>
          <cell r="Z22">
            <v>27750</v>
          </cell>
          <cell r="AA22">
            <v>8790</v>
          </cell>
          <cell r="AB22">
            <v>1600</v>
          </cell>
          <cell r="AC22">
            <v>4090</v>
          </cell>
          <cell r="AD22">
            <v>177000</v>
          </cell>
          <cell r="AE22">
            <v>162000</v>
          </cell>
          <cell r="AF22">
            <v>15000</v>
          </cell>
          <cell r="AG22">
            <v>21500</v>
          </cell>
          <cell r="AH22">
            <v>112926</v>
          </cell>
          <cell r="AI22">
            <v>109704</v>
          </cell>
          <cell r="AJ22">
            <v>3222</v>
          </cell>
          <cell r="AK22">
            <v>43728</v>
          </cell>
          <cell r="AL22">
            <v>53000</v>
          </cell>
          <cell r="AM22">
            <v>5825</v>
          </cell>
          <cell r="AN22">
            <v>637258</v>
          </cell>
          <cell r="AO22">
            <v>503000</v>
          </cell>
          <cell r="AP22">
            <v>134258</v>
          </cell>
          <cell r="AQ22">
            <v>2433</v>
          </cell>
          <cell r="AR22">
            <v>10300</v>
          </cell>
          <cell r="AS22">
            <v>360000</v>
          </cell>
          <cell r="AT22">
            <v>2472200</v>
          </cell>
          <cell r="AU22">
            <v>2470000</v>
          </cell>
          <cell r="AV22">
            <v>2200</v>
          </cell>
          <cell r="AW22">
            <v>839200</v>
          </cell>
          <cell r="AX22">
            <v>29698</v>
          </cell>
          <cell r="AY22">
            <v>16500</v>
          </cell>
          <cell r="AZ22">
            <v>120000</v>
          </cell>
          <cell r="BA22">
            <v>216510</v>
          </cell>
          <cell r="BB22">
            <v>22000</v>
          </cell>
          <cell r="BC22">
            <v>34035</v>
          </cell>
          <cell r="BD22">
            <v>334000</v>
          </cell>
          <cell r="BE22">
            <v>24756</v>
          </cell>
          <cell r="BF22">
            <v>16450</v>
          </cell>
          <cell r="BG22">
            <v>47400</v>
          </cell>
          <cell r="BH22">
            <v>0</v>
          </cell>
          <cell r="BI22">
            <v>79831</v>
          </cell>
          <cell r="BJ22">
            <v>70622</v>
          </cell>
          <cell r="BK22">
            <v>9209</v>
          </cell>
          <cell r="BL22">
            <v>128981</v>
          </cell>
          <cell r="BM22">
            <v>81581</v>
          </cell>
          <cell r="BN22">
            <v>47400</v>
          </cell>
          <cell r="BO22">
            <v>13839</v>
          </cell>
          <cell r="BP22">
            <v>61447</v>
          </cell>
          <cell r="BQ22">
            <v>53000</v>
          </cell>
          <cell r="BR22">
            <v>18777</v>
          </cell>
          <cell r="BS22">
            <v>152400</v>
          </cell>
          <cell r="BT22">
            <v>26886</v>
          </cell>
          <cell r="BU22">
            <v>30000</v>
          </cell>
          <cell r="BV22">
            <v>148300</v>
          </cell>
          <cell r="BW22">
            <v>20200</v>
          </cell>
          <cell r="BX22">
            <v>6500</v>
          </cell>
          <cell r="BY22">
            <v>78565</v>
          </cell>
          <cell r="BZ22">
            <v>74740</v>
          </cell>
          <cell r="CA22">
            <v>2479</v>
          </cell>
          <cell r="CB22">
            <v>1346</v>
          </cell>
          <cell r="CC22">
            <v>18450</v>
          </cell>
          <cell r="CD22">
            <v>656000</v>
          </cell>
          <cell r="CE22">
            <v>612000</v>
          </cell>
          <cell r="CF22">
            <v>44000</v>
          </cell>
          <cell r="CG22">
            <v>75000</v>
          </cell>
          <cell r="CH22">
            <v>8125</v>
          </cell>
          <cell r="CI22">
            <v>16700</v>
          </cell>
          <cell r="CJ22">
            <v>5336</v>
          </cell>
          <cell r="CK22">
            <v>32000</v>
          </cell>
          <cell r="CL22">
            <v>109016</v>
          </cell>
          <cell r="CM22">
            <v>15000</v>
          </cell>
          <cell r="CN22">
            <v>2500000</v>
          </cell>
          <cell r="CO22">
            <v>385258</v>
          </cell>
          <cell r="CP22">
            <v>338500</v>
          </cell>
          <cell r="CQ22">
            <v>20600</v>
          </cell>
          <cell r="CR22">
            <v>26158</v>
          </cell>
          <cell r="CS22">
            <v>15000</v>
          </cell>
          <cell r="CT22">
            <v>135430</v>
          </cell>
          <cell r="CU22">
            <v>48405</v>
          </cell>
          <cell r="CV22">
            <v>11000</v>
          </cell>
          <cell r="CW22">
            <v>7411</v>
          </cell>
          <cell r="CX22">
            <v>9129</v>
          </cell>
          <cell r="CY22">
            <v>66000</v>
          </cell>
          <cell r="CZ22">
            <v>100000</v>
          </cell>
          <cell r="DA22">
            <v>34000</v>
          </cell>
        </row>
        <row r="23">
          <cell r="A23" t="str">
            <v>No seasonal occupacy customers</v>
          </cell>
          <cell r="B23" t="str">
            <v>YNSUM</v>
          </cell>
          <cell r="C23">
            <v>2003</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176</v>
          </cell>
          <cell r="AE23">
            <v>171</v>
          </cell>
          <cell r="AF23">
            <v>5</v>
          </cell>
          <cell r="AG23">
            <v>0</v>
          </cell>
          <cell r="AH23">
            <v>0</v>
          </cell>
          <cell r="AI23">
            <v>0</v>
          </cell>
          <cell r="AJ23">
            <v>0</v>
          </cell>
          <cell r="AK23">
            <v>5000</v>
          </cell>
          <cell r="AL23">
            <v>0</v>
          </cell>
          <cell r="AM23">
            <v>0</v>
          </cell>
          <cell r="AN23">
            <v>58</v>
          </cell>
          <cell r="AO23">
            <v>0</v>
          </cell>
          <cell r="AP23">
            <v>58</v>
          </cell>
          <cell r="AQ23">
            <v>0</v>
          </cell>
          <cell r="AR23">
            <v>0</v>
          </cell>
          <cell r="AS23">
            <v>0</v>
          </cell>
          <cell r="AT23">
            <v>154000</v>
          </cell>
          <cell r="AU23">
            <v>154000</v>
          </cell>
          <cell r="AV23">
            <v>0</v>
          </cell>
          <cell r="AW23">
            <v>0</v>
          </cell>
          <cell r="AX23">
            <v>900</v>
          </cell>
          <cell r="AY23">
            <v>200</v>
          </cell>
          <cell r="AZ23">
            <v>0</v>
          </cell>
          <cell r="BA23">
            <v>0</v>
          </cell>
          <cell r="BB23">
            <v>0</v>
          </cell>
          <cell r="BC23">
            <v>150</v>
          </cell>
          <cell r="BD23">
            <v>0</v>
          </cell>
          <cell r="BE23">
            <v>0</v>
          </cell>
          <cell r="BF23">
            <v>0</v>
          </cell>
          <cell r="BG23">
            <v>0</v>
          </cell>
          <cell r="BH23">
            <v>0</v>
          </cell>
          <cell r="BI23">
            <v>525</v>
          </cell>
          <cell r="BJ23">
            <v>0</v>
          </cell>
          <cell r="BK23">
            <v>525</v>
          </cell>
          <cell r="BL23">
            <v>0</v>
          </cell>
          <cell r="BM23">
            <v>0</v>
          </cell>
          <cell r="BN23">
            <v>0</v>
          </cell>
          <cell r="BO23">
            <v>213</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48</v>
          </cell>
          <cell r="CE23">
            <v>48</v>
          </cell>
          <cell r="CF23">
            <v>0</v>
          </cell>
          <cell r="CG23">
            <v>100</v>
          </cell>
          <cell r="CH23">
            <v>0</v>
          </cell>
          <cell r="CI23">
            <v>0</v>
          </cell>
          <cell r="CJ23">
            <v>112</v>
          </cell>
          <cell r="CK23">
            <v>0</v>
          </cell>
          <cell r="CL23">
            <v>0</v>
          </cell>
          <cell r="CM23">
            <v>0</v>
          </cell>
          <cell r="CN23">
            <v>0</v>
          </cell>
          <cell r="CO23">
            <v>1607</v>
          </cell>
          <cell r="CP23">
            <v>0</v>
          </cell>
          <cell r="CQ23">
            <v>0</v>
          </cell>
          <cell r="CR23">
            <v>1607</v>
          </cell>
          <cell r="CS23">
            <v>2000</v>
          </cell>
          <cell r="CT23">
            <v>0</v>
          </cell>
          <cell r="CU23">
            <v>0</v>
          </cell>
          <cell r="CV23">
            <v>0</v>
          </cell>
          <cell r="CW23">
            <v>0</v>
          </cell>
          <cell r="CX23">
            <v>0</v>
          </cell>
          <cell r="CY23">
            <v>445</v>
          </cell>
          <cell r="CZ23">
            <v>0</v>
          </cell>
          <cell r="DA23">
            <v>0</v>
          </cell>
        </row>
        <row r="24">
          <cell r="A24" t="str">
            <v>Utility winter max peak load</v>
          </cell>
          <cell r="B24" t="str">
            <v>PEAKW</v>
          </cell>
          <cell r="C24">
            <v>2003</v>
          </cell>
          <cell r="D24">
            <v>8722</v>
          </cell>
          <cell r="E24">
            <v>247728</v>
          </cell>
          <cell r="F24">
            <v>171280</v>
          </cell>
          <cell r="G24">
            <v>42403</v>
          </cell>
          <cell r="H24">
            <v>150623</v>
          </cell>
          <cell r="I24">
            <v>266915</v>
          </cell>
          <cell r="J24">
            <v>239745</v>
          </cell>
          <cell r="K24">
            <v>39945</v>
          </cell>
          <cell r="L24">
            <v>7754</v>
          </cell>
          <cell r="M24">
            <v>137616</v>
          </cell>
          <cell r="N24">
            <v>6176</v>
          </cell>
          <cell r="O24">
            <v>67393</v>
          </cell>
          <cell r="P24">
            <v>6221</v>
          </cell>
          <cell r="Q24">
            <v>1290</v>
          </cell>
          <cell r="R24">
            <v>14836</v>
          </cell>
          <cell r="S24">
            <v>292489</v>
          </cell>
          <cell r="T24">
            <v>1180533</v>
          </cell>
          <cell r="U24">
            <v>487</v>
          </cell>
          <cell r="V24">
            <v>66636</v>
          </cell>
          <cell r="W24">
            <v>12948</v>
          </cell>
          <cell r="X24">
            <v>86084</v>
          </cell>
          <cell r="Y24">
            <v>94740</v>
          </cell>
          <cell r="Z24">
            <v>50668</v>
          </cell>
          <cell r="AA24">
            <v>17145</v>
          </cell>
          <cell r="AB24">
            <v>12276</v>
          </cell>
          <cell r="AC24">
            <v>39692</v>
          </cell>
          <cell r="AD24">
            <v>91061</v>
          </cell>
          <cell r="AE24">
            <v>78597</v>
          </cell>
          <cell r="AF24">
            <v>12464</v>
          </cell>
          <cell r="AG24">
            <v>27834</v>
          </cell>
          <cell r="AH24">
            <v>239155</v>
          </cell>
          <cell r="AI24">
            <v>235956</v>
          </cell>
          <cell r="AJ24">
            <v>3199</v>
          </cell>
          <cell r="AK24">
            <v>75593</v>
          </cell>
          <cell r="AL24">
            <v>103035</v>
          </cell>
          <cell r="AM24">
            <v>20065</v>
          </cell>
          <cell r="AN24">
            <v>1064121.56</v>
          </cell>
          <cell r="AO24">
            <v>831345.56</v>
          </cell>
          <cell r="AP24">
            <v>232776</v>
          </cell>
          <cell r="AQ24">
            <v>7008</v>
          </cell>
          <cell r="AR24">
            <v>37643</v>
          </cell>
          <cell r="AS24">
            <v>546300</v>
          </cell>
          <cell r="AT24">
            <v>9321</v>
          </cell>
          <cell r="AU24">
            <v>4482</v>
          </cell>
          <cell r="AV24">
            <v>4839</v>
          </cell>
          <cell r="AW24">
            <v>1367738</v>
          </cell>
          <cell r="AX24">
            <v>48745</v>
          </cell>
          <cell r="AY24">
            <v>21645</v>
          </cell>
          <cell r="AZ24">
            <v>141229</v>
          </cell>
          <cell r="BA24">
            <v>322854</v>
          </cell>
          <cell r="BB24">
            <v>50701</v>
          </cell>
          <cell r="BC24">
            <v>44695</v>
          </cell>
          <cell r="BD24">
            <v>513206</v>
          </cell>
          <cell r="BE24">
            <v>32745</v>
          </cell>
          <cell r="BF24">
            <v>37705</v>
          </cell>
          <cell r="BG24">
            <v>94785</v>
          </cell>
          <cell r="BH24">
            <v>0</v>
          </cell>
          <cell r="BI24">
            <v>121170</v>
          </cell>
          <cell r="BJ24">
            <v>111815</v>
          </cell>
          <cell r="BK24">
            <v>9355</v>
          </cell>
          <cell r="BL24">
            <v>183339</v>
          </cell>
          <cell r="BM24">
            <v>124339</v>
          </cell>
          <cell r="BN24">
            <v>59000</v>
          </cell>
          <cell r="BO24">
            <v>29062</v>
          </cell>
          <cell r="BP24">
            <v>62220</v>
          </cell>
          <cell r="BQ24">
            <v>116105</v>
          </cell>
          <cell r="BR24">
            <v>26895</v>
          </cell>
          <cell r="BS24">
            <v>264086</v>
          </cell>
          <cell r="BT24">
            <v>40738</v>
          </cell>
          <cell r="BU24">
            <v>61913</v>
          </cell>
          <cell r="BV24">
            <v>228000</v>
          </cell>
          <cell r="BW24">
            <v>39960</v>
          </cell>
          <cell r="BX24">
            <v>19182</v>
          </cell>
          <cell r="BY24">
            <v>148653</v>
          </cell>
          <cell r="BZ24">
            <v>139532</v>
          </cell>
          <cell r="CA24">
            <v>6259</v>
          </cell>
          <cell r="CB24">
            <v>2862</v>
          </cell>
          <cell r="CC24">
            <v>34000</v>
          </cell>
          <cell r="CD24">
            <v>1041314</v>
          </cell>
          <cell r="CE24">
            <v>975214</v>
          </cell>
          <cell r="CF24">
            <v>66100</v>
          </cell>
          <cell r="CG24">
            <v>147</v>
          </cell>
          <cell r="CH24">
            <v>18946</v>
          </cell>
          <cell r="CI24">
            <v>31849</v>
          </cell>
          <cell r="CJ24">
            <v>20972</v>
          </cell>
          <cell r="CK24">
            <v>57359</v>
          </cell>
          <cell r="CL24">
            <v>195658</v>
          </cell>
          <cell r="CM24">
            <v>37722</v>
          </cell>
          <cell r="CN24">
            <v>4251999</v>
          </cell>
          <cell r="CO24">
            <v>415218</v>
          </cell>
          <cell r="CP24">
            <v>384900</v>
          </cell>
          <cell r="CQ24">
            <v>9374</v>
          </cell>
          <cell r="CR24">
            <v>20944</v>
          </cell>
          <cell r="CS24">
            <v>20863</v>
          </cell>
          <cell r="CT24">
            <v>216500</v>
          </cell>
          <cell r="CU24">
            <v>82946</v>
          </cell>
          <cell r="CV24">
            <v>15708</v>
          </cell>
          <cell r="CW24">
            <v>24</v>
          </cell>
          <cell r="CX24">
            <v>11235</v>
          </cell>
          <cell r="CY24">
            <v>8084203</v>
          </cell>
          <cell r="CZ24">
            <v>134089</v>
          </cell>
          <cell r="DA24">
            <v>64515</v>
          </cell>
        </row>
        <row r="25">
          <cell r="A25" t="str">
            <v>Utility summer max peak load</v>
          </cell>
          <cell r="B25" t="str">
            <v>PEAKS</v>
          </cell>
          <cell r="C25">
            <v>2003</v>
          </cell>
          <cell r="D25">
            <v>8045</v>
          </cell>
          <cell r="E25">
            <v>283771</v>
          </cell>
          <cell r="F25">
            <v>207470</v>
          </cell>
          <cell r="G25">
            <v>44756</v>
          </cell>
          <cell r="H25">
            <v>188025</v>
          </cell>
          <cell r="I25">
            <v>334138</v>
          </cell>
          <cell r="J25">
            <v>287386</v>
          </cell>
          <cell r="K25">
            <v>33926</v>
          </cell>
          <cell r="L25">
            <v>7461</v>
          </cell>
          <cell r="M25">
            <v>173485</v>
          </cell>
          <cell r="N25">
            <v>5549</v>
          </cell>
          <cell r="O25">
            <v>57786</v>
          </cell>
          <cell r="P25">
            <v>4528</v>
          </cell>
          <cell r="Q25">
            <v>1570</v>
          </cell>
          <cell r="R25">
            <v>14800</v>
          </cell>
          <cell r="S25">
            <v>355729</v>
          </cell>
          <cell r="T25">
            <v>1497890</v>
          </cell>
          <cell r="U25">
            <v>609</v>
          </cell>
          <cell r="V25">
            <v>64512</v>
          </cell>
          <cell r="W25">
            <v>11992</v>
          </cell>
          <cell r="X25">
            <v>123955</v>
          </cell>
          <cell r="Y25">
            <v>102244</v>
          </cell>
          <cell r="Z25">
            <v>50668</v>
          </cell>
          <cell r="AA25">
            <v>13785</v>
          </cell>
          <cell r="AB25">
            <v>8863</v>
          </cell>
          <cell r="AC25">
            <v>27926</v>
          </cell>
          <cell r="AD25">
            <v>89881</v>
          </cell>
          <cell r="AE25">
            <v>77513</v>
          </cell>
          <cell r="AF25">
            <v>12368</v>
          </cell>
          <cell r="AG25">
            <v>34776</v>
          </cell>
          <cell r="AH25">
            <v>259138</v>
          </cell>
          <cell r="AI25">
            <v>256010</v>
          </cell>
          <cell r="AJ25">
            <v>3128</v>
          </cell>
          <cell r="AK25">
            <v>78443</v>
          </cell>
          <cell r="AL25">
            <v>117773</v>
          </cell>
          <cell r="AM25">
            <v>18452</v>
          </cell>
          <cell r="AN25">
            <v>1240093.78</v>
          </cell>
          <cell r="AO25">
            <v>966363.78</v>
          </cell>
          <cell r="AP25">
            <v>273730</v>
          </cell>
          <cell r="AQ25">
            <v>5009</v>
          </cell>
          <cell r="AR25">
            <v>30948</v>
          </cell>
          <cell r="AS25">
            <v>661800</v>
          </cell>
          <cell r="AT25">
            <v>7170</v>
          </cell>
          <cell r="AU25">
            <v>3393</v>
          </cell>
          <cell r="AV25">
            <v>3777</v>
          </cell>
          <cell r="AW25">
            <v>1420437</v>
          </cell>
          <cell r="AX25">
            <v>40502</v>
          </cell>
          <cell r="AY25">
            <v>18412</v>
          </cell>
          <cell r="AZ25">
            <v>115981</v>
          </cell>
          <cell r="BA25">
            <v>357759</v>
          </cell>
          <cell r="BB25">
            <v>45008</v>
          </cell>
          <cell r="BC25">
            <v>35426</v>
          </cell>
          <cell r="BD25">
            <v>635806</v>
          </cell>
          <cell r="BE25">
            <v>39102</v>
          </cell>
          <cell r="BF25">
            <v>38396</v>
          </cell>
          <cell r="BG25">
            <v>105986</v>
          </cell>
          <cell r="BH25">
            <v>0</v>
          </cell>
          <cell r="BI25">
            <v>144926</v>
          </cell>
          <cell r="BJ25">
            <v>137428</v>
          </cell>
          <cell r="BK25">
            <v>7498</v>
          </cell>
          <cell r="BL25">
            <v>226693</v>
          </cell>
          <cell r="BM25">
            <v>157693</v>
          </cell>
          <cell r="BN25">
            <v>69000</v>
          </cell>
          <cell r="BO25">
            <v>36989</v>
          </cell>
          <cell r="BP25">
            <v>73156</v>
          </cell>
          <cell r="BQ25">
            <v>87633</v>
          </cell>
          <cell r="BR25">
            <v>21480</v>
          </cell>
          <cell r="BS25">
            <v>332574</v>
          </cell>
          <cell r="BT25">
            <v>43569</v>
          </cell>
          <cell r="BU25">
            <v>53830</v>
          </cell>
          <cell r="BV25">
            <v>218000</v>
          </cell>
          <cell r="BW25">
            <v>29942</v>
          </cell>
          <cell r="BX25">
            <v>11497</v>
          </cell>
          <cell r="BY25">
            <v>143722</v>
          </cell>
          <cell r="BZ25">
            <v>136818</v>
          </cell>
          <cell r="CA25">
            <v>4933</v>
          </cell>
          <cell r="CB25">
            <v>1971</v>
          </cell>
          <cell r="CC25">
            <v>38117</v>
          </cell>
          <cell r="CD25">
            <v>1413208</v>
          </cell>
          <cell r="CE25">
            <v>1340908</v>
          </cell>
          <cell r="CF25">
            <v>72300</v>
          </cell>
          <cell r="CG25">
            <v>118</v>
          </cell>
          <cell r="CH25">
            <v>16608</v>
          </cell>
          <cell r="CI25">
            <v>29127</v>
          </cell>
          <cell r="CJ25">
            <v>15713</v>
          </cell>
          <cell r="CK25">
            <v>66301</v>
          </cell>
          <cell r="CL25">
            <v>166343</v>
          </cell>
          <cell r="CM25">
            <v>41306</v>
          </cell>
          <cell r="CN25">
            <v>4820891</v>
          </cell>
          <cell r="CO25">
            <v>447099</v>
          </cell>
          <cell r="CP25">
            <v>422200</v>
          </cell>
          <cell r="CQ25">
            <v>9640</v>
          </cell>
          <cell r="CR25">
            <v>15259</v>
          </cell>
          <cell r="CS25">
            <v>19449</v>
          </cell>
          <cell r="CT25">
            <v>232507</v>
          </cell>
          <cell r="CU25">
            <v>101388</v>
          </cell>
          <cell r="CV25">
            <v>13827</v>
          </cell>
          <cell r="CW25">
            <v>25</v>
          </cell>
          <cell r="CX25">
            <v>11863</v>
          </cell>
          <cell r="CY25">
            <v>621763</v>
          </cell>
          <cell r="CZ25">
            <v>156866</v>
          </cell>
          <cell r="DA25">
            <v>71552</v>
          </cell>
        </row>
        <row r="26">
          <cell r="A26" t="str">
            <v>Utility average peak load</v>
          </cell>
          <cell r="B26" t="str">
            <v>PEAKA</v>
          </cell>
          <cell r="C26">
            <v>2003</v>
          </cell>
          <cell r="D26">
            <v>6304</v>
          </cell>
          <cell r="E26">
            <v>238526</v>
          </cell>
          <cell r="F26">
            <v>170365</v>
          </cell>
          <cell r="G26">
            <v>40768</v>
          </cell>
          <cell r="H26">
            <v>149800</v>
          </cell>
          <cell r="I26">
            <v>225000</v>
          </cell>
          <cell r="J26">
            <v>242596</v>
          </cell>
          <cell r="K26">
            <v>27047</v>
          </cell>
          <cell r="L26">
            <v>5329</v>
          </cell>
          <cell r="M26">
            <v>141818</v>
          </cell>
          <cell r="N26">
            <v>5422</v>
          </cell>
          <cell r="O26">
            <v>57914</v>
          </cell>
          <cell r="P26">
            <v>4768</v>
          </cell>
          <cell r="Q26">
            <v>1398</v>
          </cell>
          <cell r="R26">
            <v>13800</v>
          </cell>
          <cell r="S26">
            <v>324109</v>
          </cell>
          <cell r="T26">
            <v>1186525</v>
          </cell>
          <cell r="U26">
            <v>498</v>
          </cell>
          <cell r="V26">
            <v>61065</v>
          </cell>
          <cell r="W26">
            <v>10769</v>
          </cell>
          <cell r="X26">
            <v>91690</v>
          </cell>
          <cell r="Y26">
            <v>93338</v>
          </cell>
          <cell r="Z26">
            <v>46362</v>
          </cell>
          <cell r="AA26">
            <v>13683</v>
          </cell>
          <cell r="AB26">
            <v>1762</v>
          </cell>
          <cell r="AC26">
            <v>33809</v>
          </cell>
          <cell r="AD26">
            <v>88825</v>
          </cell>
          <cell r="AE26">
            <v>78055</v>
          </cell>
          <cell r="AF26">
            <v>10770</v>
          </cell>
          <cell r="AG26">
            <v>27019</v>
          </cell>
          <cell r="AH26">
            <v>232266</v>
          </cell>
          <cell r="AI26">
            <v>229447</v>
          </cell>
          <cell r="AJ26">
            <v>2819</v>
          </cell>
          <cell r="AK26">
            <v>69013</v>
          </cell>
          <cell r="AL26">
            <v>94612</v>
          </cell>
          <cell r="AM26">
            <v>17325</v>
          </cell>
          <cell r="AN26">
            <v>1042308.92</v>
          </cell>
          <cell r="AO26">
            <v>813210.92</v>
          </cell>
          <cell r="AP26">
            <v>229098</v>
          </cell>
          <cell r="AQ26">
            <v>4605</v>
          </cell>
          <cell r="AR26">
            <v>32206</v>
          </cell>
          <cell r="AS26">
            <v>539800</v>
          </cell>
          <cell r="AT26">
            <v>6948</v>
          </cell>
          <cell r="AU26">
            <v>3539</v>
          </cell>
          <cell r="AV26">
            <v>3409</v>
          </cell>
          <cell r="AW26">
            <v>1223486</v>
          </cell>
          <cell r="AX26">
            <v>43441</v>
          </cell>
          <cell r="AY26">
            <v>18077</v>
          </cell>
          <cell r="AZ26">
            <v>114871</v>
          </cell>
          <cell r="BA26">
            <v>311281</v>
          </cell>
          <cell r="BB26">
            <v>43903</v>
          </cell>
          <cell r="BC26">
            <v>35701</v>
          </cell>
          <cell r="BD26">
            <v>522519</v>
          </cell>
          <cell r="BE26">
            <v>34370</v>
          </cell>
          <cell r="BF26">
            <v>30000</v>
          </cell>
          <cell r="BG26">
            <v>91714</v>
          </cell>
          <cell r="BH26">
            <v>0</v>
          </cell>
          <cell r="BI26">
            <v>117360</v>
          </cell>
          <cell r="BJ26">
            <v>109803</v>
          </cell>
          <cell r="BK26">
            <v>7557</v>
          </cell>
          <cell r="BL26">
            <v>184463</v>
          </cell>
          <cell r="BM26">
            <v>126463</v>
          </cell>
          <cell r="BN26">
            <v>58000</v>
          </cell>
          <cell r="BO26">
            <v>28346</v>
          </cell>
          <cell r="BP26">
            <v>59925</v>
          </cell>
          <cell r="BQ26">
            <v>91100</v>
          </cell>
          <cell r="BR26">
            <v>21837</v>
          </cell>
          <cell r="BS26">
            <v>265619</v>
          </cell>
          <cell r="BT26">
            <v>38357</v>
          </cell>
          <cell r="BU26">
            <v>51120</v>
          </cell>
          <cell r="BV26">
            <v>198000</v>
          </cell>
          <cell r="BW26">
            <v>30488</v>
          </cell>
          <cell r="BX26">
            <v>14483</v>
          </cell>
          <cell r="BY26">
            <v>131276</v>
          </cell>
          <cell r="BZ26">
            <v>123931</v>
          </cell>
          <cell r="CA26">
            <v>5189</v>
          </cell>
          <cell r="CB26">
            <v>2156</v>
          </cell>
          <cell r="CC26">
            <v>32995</v>
          </cell>
          <cell r="CD26">
            <v>1080411</v>
          </cell>
          <cell r="CE26">
            <v>1017511</v>
          </cell>
          <cell r="CF26">
            <v>62900</v>
          </cell>
          <cell r="CG26">
            <v>114</v>
          </cell>
          <cell r="CH26">
            <v>15664</v>
          </cell>
          <cell r="CI26">
            <v>22694</v>
          </cell>
          <cell r="CJ26">
            <v>15737</v>
          </cell>
          <cell r="CK26">
            <v>56602</v>
          </cell>
          <cell r="CL26">
            <v>167524</v>
          </cell>
          <cell r="CM26">
            <v>36251</v>
          </cell>
          <cell r="CN26">
            <v>4081585</v>
          </cell>
          <cell r="CO26">
            <v>395114</v>
          </cell>
          <cell r="CP26">
            <v>371185</v>
          </cell>
          <cell r="CQ26">
            <v>8318</v>
          </cell>
          <cell r="CR26">
            <v>15611</v>
          </cell>
          <cell r="CS26">
            <v>17721</v>
          </cell>
          <cell r="CT26">
            <v>207133</v>
          </cell>
          <cell r="CU26">
            <v>80575</v>
          </cell>
          <cell r="CV26">
            <v>14274</v>
          </cell>
          <cell r="CW26">
            <v>24</v>
          </cell>
          <cell r="CX26">
            <v>10704</v>
          </cell>
          <cell r="CY26">
            <v>7043886</v>
          </cell>
          <cell r="CZ26">
            <v>129409</v>
          </cell>
          <cell r="DA26">
            <v>64051</v>
          </cell>
        </row>
        <row r="27">
          <cell r="A27" t="str">
            <v>Total circuit kms of line</v>
          </cell>
          <cell r="B27" t="str">
            <v>KMC</v>
          </cell>
          <cell r="C27">
            <v>2003</v>
          </cell>
          <cell r="D27">
            <v>92.5</v>
          </cell>
          <cell r="E27">
            <v>1317</v>
          </cell>
          <cell r="F27">
            <v>776.4</v>
          </cell>
          <cell r="G27">
            <v>432</v>
          </cell>
          <cell r="H27">
            <v>471</v>
          </cell>
          <cell r="I27">
            <v>1363.9</v>
          </cell>
          <cell r="J27">
            <v>1078.7</v>
          </cell>
          <cell r="K27">
            <v>138.80000000000001</v>
          </cell>
          <cell r="L27">
            <v>27.5</v>
          </cell>
          <cell r="M27">
            <v>743.9</v>
          </cell>
          <cell r="N27">
            <v>21</v>
          </cell>
          <cell r="O27">
            <v>283</v>
          </cell>
          <cell r="P27">
            <v>28</v>
          </cell>
          <cell r="Q27">
            <v>7.6</v>
          </cell>
          <cell r="R27">
            <v>140</v>
          </cell>
          <cell r="S27">
            <v>132.19999999999999</v>
          </cell>
          <cell r="T27">
            <v>4937</v>
          </cell>
          <cell r="U27">
            <v>1167.3</v>
          </cell>
          <cell r="V27">
            <v>254</v>
          </cell>
          <cell r="W27">
            <v>133.19999999999999</v>
          </cell>
          <cell r="X27">
            <v>445.3</v>
          </cell>
          <cell r="Y27">
            <v>274.89999999999998</v>
          </cell>
          <cell r="Z27">
            <v>473.1</v>
          </cell>
          <cell r="AA27">
            <v>84.6</v>
          </cell>
          <cell r="AB27">
            <v>8.1</v>
          </cell>
          <cell r="AC27">
            <v>1828.6</v>
          </cell>
          <cell r="AD27">
            <v>870.6</v>
          </cell>
          <cell r="AE27">
            <v>833.6</v>
          </cell>
          <cell r="AF27">
            <v>37</v>
          </cell>
          <cell r="AG27">
            <v>232</v>
          </cell>
          <cell r="AH27">
            <v>921.1</v>
          </cell>
          <cell r="AI27">
            <v>890</v>
          </cell>
          <cell r="AJ27">
            <v>31.1</v>
          </cell>
          <cell r="AK27">
            <v>1631</v>
          </cell>
          <cell r="AL27">
            <v>1229.5999999999999</v>
          </cell>
          <cell r="AM27">
            <v>68.400000000000006</v>
          </cell>
          <cell r="AN27">
            <v>3180</v>
          </cell>
          <cell r="AO27">
            <v>2458</v>
          </cell>
          <cell r="AP27">
            <v>722</v>
          </cell>
          <cell r="AQ27">
            <v>22.6</v>
          </cell>
          <cell r="AR27">
            <v>65.2</v>
          </cell>
          <cell r="AS27">
            <v>2286</v>
          </cell>
          <cell r="AT27">
            <v>119060.4</v>
          </cell>
          <cell r="AU27">
            <v>119040</v>
          </cell>
          <cell r="AV27">
            <v>20.399999999999999</v>
          </cell>
          <cell r="AW27">
            <v>4830</v>
          </cell>
          <cell r="AX27">
            <v>590</v>
          </cell>
          <cell r="AY27">
            <v>98</v>
          </cell>
          <cell r="AZ27">
            <v>348</v>
          </cell>
          <cell r="BA27">
            <v>1719</v>
          </cell>
          <cell r="BB27">
            <v>100</v>
          </cell>
          <cell r="BC27">
            <v>652</v>
          </cell>
          <cell r="BD27">
            <v>2481</v>
          </cell>
          <cell r="BE27">
            <v>108</v>
          </cell>
          <cell r="BF27">
            <v>105.6</v>
          </cell>
          <cell r="BG27">
            <v>711</v>
          </cell>
          <cell r="BH27">
            <v>0</v>
          </cell>
          <cell r="BI27">
            <v>976.3</v>
          </cell>
          <cell r="BJ27">
            <v>619</v>
          </cell>
          <cell r="BK27">
            <v>357.3</v>
          </cell>
          <cell r="BL27">
            <v>2050</v>
          </cell>
          <cell r="BM27">
            <v>777</v>
          </cell>
          <cell r="BN27">
            <v>1273</v>
          </cell>
          <cell r="BO27">
            <v>315</v>
          </cell>
          <cell r="BP27">
            <v>749</v>
          </cell>
          <cell r="BQ27">
            <v>560</v>
          </cell>
          <cell r="BR27">
            <v>370</v>
          </cell>
          <cell r="BS27">
            <v>1285</v>
          </cell>
          <cell r="BT27">
            <v>147.5</v>
          </cell>
          <cell r="BU27">
            <v>286.3</v>
          </cell>
          <cell r="BV27">
            <v>1538</v>
          </cell>
          <cell r="BW27">
            <v>147.4</v>
          </cell>
          <cell r="BX27">
            <v>128</v>
          </cell>
          <cell r="BY27">
            <v>529.1</v>
          </cell>
          <cell r="BZ27">
            <v>495</v>
          </cell>
          <cell r="CA27">
            <v>23.3</v>
          </cell>
          <cell r="CB27">
            <v>10.8</v>
          </cell>
          <cell r="CC27">
            <v>268</v>
          </cell>
          <cell r="CD27">
            <v>6488.4</v>
          </cell>
          <cell r="CE27">
            <v>6112</v>
          </cell>
          <cell r="CF27">
            <v>376.4</v>
          </cell>
          <cell r="CG27">
            <v>710</v>
          </cell>
          <cell r="CH27">
            <v>70</v>
          </cell>
          <cell r="CI27">
            <v>85</v>
          </cell>
          <cell r="CJ27">
            <v>210.5</v>
          </cell>
          <cell r="CK27">
            <v>232</v>
          </cell>
          <cell r="CL27">
            <v>1349.3</v>
          </cell>
          <cell r="CM27">
            <v>135.1</v>
          </cell>
          <cell r="CN27">
            <v>16781</v>
          </cell>
          <cell r="CO27">
            <v>1675.4</v>
          </cell>
          <cell r="CP27">
            <v>1401</v>
          </cell>
          <cell r="CQ27">
            <v>30.5</v>
          </cell>
          <cell r="CR27">
            <v>243.9</v>
          </cell>
          <cell r="CS27">
            <v>201.8</v>
          </cell>
          <cell r="CT27">
            <v>1306</v>
          </cell>
          <cell r="CU27">
            <v>417.7</v>
          </cell>
          <cell r="CV27">
            <v>122</v>
          </cell>
          <cell r="CW27">
            <v>65.2</v>
          </cell>
          <cell r="CX27">
            <v>34.700000000000003</v>
          </cell>
          <cell r="CY27">
            <v>415.2</v>
          </cell>
          <cell r="CZ27">
            <v>928.1</v>
          </cell>
          <cell r="DA27">
            <v>247.7</v>
          </cell>
        </row>
        <row r="28">
          <cell r="A28" t="str">
            <v>Overhead circuit kms of line</v>
          </cell>
          <cell r="B28" t="str">
            <v>KMCO</v>
          </cell>
          <cell r="C28">
            <v>2003</v>
          </cell>
          <cell r="D28">
            <v>92</v>
          </cell>
          <cell r="E28">
            <v>615</v>
          </cell>
          <cell r="F28">
            <v>607.5</v>
          </cell>
          <cell r="G28">
            <v>405</v>
          </cell>
          <cell r="H28">
            <v>274</v>
          </cell>
          <cell r="I28">
            <v>808.8</v>
          </cell>
          <cell r="J28">
            <v>727.2</v>
          </cell>
          <cell r="K28">
            <v>77.3</v>
          </cell>
          <cell r="L28">
            <v>26</v>
          </cell>
          <cell r="M28">
            <v>525</v>
          </cell>
          <cell r="N28">
            <v>17</v>
          </cell>
          <cell r="O28">
            <v>210</v>
          </cell>
          <cell r="P28">
            <v>15.6</v>
          </cell>
          <cell r="Q28">
            <v>6.4</v>
          </cell>
          <cell r="R28">
            <v>135</v>
          </cell>
          <cell r="S28">
            <v>86.6</v>
          </cell>
          <cell r="T28">
            <v>1684</v>
          </cell>
          <cell r="U28">
            <v>819.6</v>
          </cell>
          <cell r="V28">
            <v>202.9</v>
          </cell>
          <cell r="W28">
            <v>122.6</v>
          </cell>
          <cell r="X28">
            <v>234</v>
          </cell>
          <cell r="Y28">
            <v>184.8</v>
          </cell>
          <cell r="Z28">
            <v>18.399999999999999</v>
          </cell>
          <cell r="AA28">
            <v>76.599999999999994</v>
          </cell>
          <cell r="AB28">
            <v>6.3</v>
          </cell>
          <cell r="AC28">
            <v>1827.5</v>
          </cell>
          <cell r="AD28">
            <v>695.6</v>
          </cell>
          <cell r="AE28">
            <v>660.6</v>
          </cell>
          <cell r="AF28">
            <v>35</v>
          </cell>
          <cell r="AG28">
            <v>177.4</v>
          </cell>
          <cell r="AH28">
            <v>411.7</v>
          </cell>
          <cell r="AI28">
            <v>401</v>
          </cell>
          <cell r="AJ28">
            <v>10.7</v>
          </cell>
          <cell r="AK28">
            <v>1553</v>
          </cell>
          <cell r="AL28">
            <v>871.5</v>
          </cell>
          <cell r="AM28">
            <v>57.4</v>
          </cell>
          <cell r="AN28">
            <v>1612</v>
          </cell>
          <cell r="AO28">
            <v>1100</v>
          </cell>
          <cell r="AP28">
            <v>512</v>
          </cell>
          <cell r="AQ28">
            <v>20.100000000000001</v>
          </cell>
          <cell r="AR28">
            <v>56.6</v>
          </cell>
          <cell r="AS28">
            <v>737</v>
          </cell>
          <cell r="AT28">
            <v>114860</v>
          </cell>
          <cell r="AU28">
            <v>114840</v>
          </cell>
          <cell r="AV28">
            <v>20</v>
          </cell>
          <cell r="AW28">
            <v>3040</v>
          </cell>
          <cell r="AX28">
            <v>495</v>
          </cell>
          <cell r="AY28">
            <v>88</v>
          </cell>
          <cell r="AZ28">
            <v>242</v>
          </cell>
          <cell r="BA28">
            <v>974</v>
          </cell>
          <cell r="BB28">
            <v>93</v>
          </cell>
          <cell r="BC28">
            <v>579</v>
          </cell>
          <cell r="BD28">
            <v>1260</v>
          </cell>
          <cell r="BE28">
            <v>85</v>
          </cell>
          <cell r="BF28">
            <v>75.5</v>
          </cell>
          <cell r="BG28">
            <v>521</v>
          </cell>
          <cell r="BH28">
            <v>0</v>
          </cell>
          <cell r="BI28">
            <v>577.70000000000005</v>
          </cell>
          <cell r="BJ28">
            <v>235</v>
          </cell>
          <cell r="BK28">
            <v>342.7</v>
          </cell>
          <cell r="BL28">
            <v>1563</v>
          </cell>
          <cell r="BM28">
            <v>463</v>
          </cell>
          <cell r="BN28">
            <v>1100</v>
          </cell>
          <cell r="BO28">
            <v>252</v>
          </cell>
          <cell r="BP28">
            <v>678</v>
          </cell>
          <cell r="BQ28">
            <v>500</v>
          </cell>
          <cell r="BR28">
            <v>365</v>
          </cell>
          <cell r="BS28">
            <v>525</v>
          </cell>
          <cell r="BT28">
            <v>86.5</v>
          </cell>
          <cell r="BU28">
            <v>240.8</v>
          </cell>
          <cell r="BV28">
            <v>813</v>
          </cell>
          <cell r="BW28">
            <v>127.5</v>
          </cell>
          <cell r="BX28">
            <v>117</v>
          </cell>
          <cell r="BY28">
            <v>377.7</v>
          </cell>
          <cell r="BZ28">
            <v>349</v>
          </cell>
          <cell r="CA28">
            <v>17.899999999999999</v>
          </cell>
          <cell r="CB28">
            <v>10.8</v>
          </cell>
          <cell r="CC28">
            <v>259.8</v>
          </cell>
          <cell r="CD28">
            <v>2224.4</v>
          </cell>
          <cell r="CE28">
            <v>2085</v>
          </cell>
          <cell r="CF28">
            <v>139.4</v>
          </cell>
          <cell r="CG28">
            <v>604</v>
          </cell>
          <cell r="CH28">
            <v>68</v>
          </cell>
          <cell r="CI28">
            <v>76</v>
          </cell>
          <cell r="CJ28">
            <v>204.5</v>
          </cell>
          <cell r="CK28">
            <v>174</v>
          </cell>
          <cell r="CL28">
            <v>895.2</v>
          </cell>
          <cell r="CM28">
            <v>95.9</v>
          </cell>
          <cell r="CN28">
            <v>9120</v>
          </cell>
          <cell r="CO28">
            <v>1186.2</v>
          </cell>
          <cell r="CP28">
            <v>954</v>
          </cell>
          <cell r="CQ28">
            <v>19.5</v>
          </cell>
          <cell r="CR28">
            <v>212.7</v>
          </cell>
          <cell r="CS28">
            <v>118.1</v>
          </cell>
          <cell r="CT28">
            <v>926</v>
          </cell>
          <cell r="CU28">
            <v>323.89999999999998</v>
          </cell>
          <cell r="CV28">
            <v>114</v>
          </cell>
          <cell r="CW28">
            <v>53.2</v>
          </cell>
          <cell r="CX28">
            <v>28.4</v>
          </cell>
          <cell r="CY28">
            <v>334.8</v>
          </cell>
          <cell r="CZ28">
            <v>463.3</v>
          </cell>
          <cell r="DA28">
            <v>148.6</v>
          </cell>
        </row>
        <row r="29">
          <cell r="A29" t="str">
            <v>Underground circuit kms ofline</v>
          </cell>
          <cell r="B29" t="str">
            <v>KMCU</v>
          </cell>
          <cell r="C29">
            <v>2003</v>
          </cell>
          <cell r="D29">
            <v>0.5</v>
          </cell>
          <cell r="E29">
            <v>702</v>
          </cell>
          <cell r="F29">
            <v>168.9</v>
          </cell>
          <cell r="G29">
            <v>27</v>
          </cell>
          <cell r="H29">
            <v>197</v>
          </cell>
          <cell r="I29">
            <v>555.1</v>
          </cell>
          <cell r="J29">
            <v>351.5</v>
          </cell>
          <cell r="K29">
            <v>61.5</v>
          </cell>
          <cell r="L29">
            <v>1.5</v>
          </cell>
          <cell r="M29">
            <v>218.9</v>
          </cell>
          <cell r="N29">
            <v>4</v>
          </cell>
          <cell r="O29">
            <v>73</v>
          </cell>
          <cell r="P29">
            <v>12.4</v>
          </cell>
          <cell r="Q29">
            <v>1.2</v>
          </cell>
          <cell r="R29">
            <v>5</v>
          </cell>
          <cell r="S29">
            <v>45.6</v>
          </cell>
          <cell r="T29">
            <v>3253</v>
          </cell>
          <cell r="U29">
            <v>347.7</v>
          </cell>
          <cell r="V29">
            <v>51.1</v>
          </cell>
          <cell r="W29">
            <v>10.6</v>
          </cell>
          <cell r="X29">
            <v>211.3</v>
          </cell>
          <cell r="Y29">
            <v>90.1</v>
          </cell>
          <cell r="Z29">
            <v>454.7</v>
          </cell>
          <cell r="AA29">
            <v>8</v>
          </cell>
          <cell r="AB29">
            <v>1.8</v>
          </cell>
          <cell r="AC29">
            <v>1.1000000000000001</v>
          </cell>
          <cell r="AD29">
            <v>175</v>
          </cell>
          <cell r="AE29">
            <v>173</v>
          </cell>
          <cell r="AF29">
            <v>2</v>
          </cell>
          <cell r="AG29">
            <v>54.6</v>
          </cell>
          <cell r="AH29">
            <v>509.4</v>
          </cell>
          <cell r="AI29">
            <v>489</v>
          </cell>
          <cell r="AJ29">
            <v>20.399999999999999</v>
          </cell>
          <cell r="AK29">
            <v>78</v>
          </cell>
          <cell r="AL29">
            <v>358.1</v>
          </cell>
          <cell r="AM29">
            <v>11</v>
          </cell>
          <cell r="AN29">
            <v>1568</v>
          </cell>
          <cell r="AO29">
            <v>1358</v>
          </cell>
          <cell r="AP29">
            <v>210</v>
          </cell>
          <cell r="AQ29">
            <v>2.5</v>
          </cell>
          <cell r="AR29">
            <v>8.6</v>
          </cell>
          <cell r="AS29">
            <v>1549</v>
          </cell>
          <cell r="AT29">
            <v>4200.3999999999996</v>
          </cell>
          <cell r="AU29">
            <v>4200</v>
          </cell>
          <cell r="AV29">
            <v>0.4</v>
          </cell>
          <cell r="AW29">
            <v>1790</v>
          </cell>
          <cell r="AX29">
            <v>95</v>
          </cell>
          <cell r="AY29">
            <v>10</v>
          </cell>
          <cell r="AZ29">
            <v>106</v>
          </cell>
          <cell r="BA29">
            <v>745</v>
          </cell>
          <cell r="BB29">
            <v>7</v>
          </cell>
          <cell r="BC29">
            <v>73</v>
          </cell>
          <cell r="BD29">
            <v>1221</v>
          </cell>
          <cell r="BE29">
            <v>23</v>
          </cell>
          <cell r="BF29">
            <v>30.1</v>
          </cell>
          <cell r="BG29">
            <v>190</v>
          </cell>
          <cell r="BH29">
            <v>0</v>
          </cell>
          <cell r="BI29">
            <v>398.6</v>
          </cell>
          <cell r="BJ29">
            <v>384</v>
          </cell>
          <cell r="BK29">
            <v>14.6</v>
          </cell>
          <cell r="BL29">
            <v>487</v>
          </cell>
          <cell r="BM29">
            <v>314</v>
          </cell>
          <cell r="BN29">
            <v>173</v>
          </cell>
          <cell r="BO29">
            <v>63</v>
          </cell>
          <cell r="BP29">
            <v>71</v>
          </cell>
          <cell r="BQ29">
            <v>60</v>
          </cell>
          <cell r="BR29">
            <v>5</v>
          </cell>
          <cell r="BS29">
            <v>760</v>
          </cell>
          <cell r="BT29">
            <v>61</v>
          </cell>
          <cell r="BU29">
            <v>45.5</v>
          </cell>
          <cell r="BV29">
            <v>725</v>
          </cell>
          <cell r="BW29">
            <v>19.899999999999999</v>
          </cell>
          <cell r="BX29">
            <v>11</v>
          </cell>
          <cell r="BY29">
            <v>151.4</v>
          </cell>
          <cell r="BZ29">
            <v>146</v>
          </cell>
          <cell r="CA29">
            <v>5.4</v>
          </cell>
          <cell r="CB29">
            <v>0</v>
          </cell>
          <cell r="CC29">
            <v>8.1999999999999993</v>
          </cell>
          <cell r="CD29">
            <v>4264</v>
          </cell>
          <cell r="CE29">
            <v>4027</v>
          </cell>
          <cell r="CF29">
            <v>237</v>
          </cell>
          <cell r="CG29">
            <v>106</v>
          </cell>
          <cell r="CH29">
            <v>2</v>
          </cell>
          <cell r="CI29">
            <v>9</v>
          </cell>
          <cell r="CJ29">
            <v>6</v>
          </cell>
          <cell r="CK29">
            <v>58</v>
          </cell>
          <cell r="CL29">
            <v>454.1</v>
          </cell>
          <cell r="CM29">
            <v>39.200000000000003</v>
          </cell>
          <cell r="CN29">
            <v>7661</v>
          </cell>
          <cell r="CO29">
            <v>489.2</v>
          </cell>
          <cell r="CP29">
            <v>447</v>
          </cell>
          <cell r="CQ29">
            <v>11</v>
          </cell>
          <cell r="CR29">
            <v>31.2</v>
          </cell>
          <cell r="CS29">
            <v>83.7</v>
          </cell>
          <cell r="CT29">
            <v>380</v>
          </cell>
          <cell r="CU29">
            <v>93.8</v>
          </cell>
          <cell r="CV29">
            <v>8</v>
          </cell>
          <cell r="CW29">
            <v>12</v>
          </cell>
          <cell r="CX29">
            <v>6.3</v>
          </cell>
          <cell r="CY29">
            <v>80.400000000000006</v>
          </cell>
          <cell r="CZ29">
            <v>464.8</v>
          </cell>
          <cell r="DA29">
            <v>99.1</v>
          </cell>
        </row>
        <row r="30">
          <cell r="A30" t="str">
            <v>Circuit kilometers 3 phase</v>
          </cell>
          <cell r="B30" t="str">
            <v>KMC3</v>
          </cell>
          <cell r="C30">
            <v>2003</v>
          </cell>
          <cell r="D30">
            <v>47</v>
          </cell>
          <cell r="E30">
            <v>647</v>
          </cell>
          <cell r="F30">
            <v>450.2</v>
          </cell>
          <cell r="G30">
            <v>202</v>
          </cell>
          <cell r="H30">
            <v>232</v>
          </cell>
          <cell r="I30">
            <v>661.2</v>
          </cell>
          <cell r="J30">
            <v>460.7</v>
          </cell>
          <cell r="K30">
            <v>67.5</v>
          </cell>
          <cell r="L30">
            <v>15.9</v>
          </cell>
          <cell r="M30">
            <v>467.3</v>
          </cell>
          <cell r="N30">
            <v>10</v>
          </cell>
          <cell r="O30">
            <v>91</v>
          </cell>
          <cell r="P30">
            <v>10.6</v>
          </cell>
          <cell r="Q30">
            <v>5.2</v>
          </cell>
          <cell r="R30">
            <v>0</v>
          </cell>
          <cell r="S30">
            <v>64.3</v>
          </cell>
          <cell r="T30">
            <v>2976</v>
          </cell>
          <cell r="U30">
            <v>680.9</v>
          </cell>
          <cell r="V30">
            <v>145</v>
          </cell>
          <cell r="W30">
            <v>30.8</v>
          </cell>
          <cell r="X30">
            <v>166.2</v>
          </cell>
          <cell r="Y30">
            <v>145.9</v>
          </cell>
          <cell r="Z30">
            <v>0</v>
          </cell>
          <cell r="AA30">
            <v>48.5</v>
          </cell>
          <cell r="AB30">
            <v>3.5</v>
          </cell>
          <cell r="AC30">
            <v>0</v>
          </cell>
          <cell r="AD30">
            <v>19.399999999999999</v>
          </cell>
          <cell r="AE30">
            <v>0</v>
          </cell>
          <cell r="AF30">
            <v>19.399999999999999</v>
          </cell>
          <cell r="AG30">
            <v>106.7</v>
          </cell>
          <cell r="AH30">
            <v>426.6</v>
          </cell>
          <cell r="AI30">
            <v>420</v>
          </cell>
          <cell r="AJ30">
            <v>6.6</v>
          </cell>
          <cell r="AK30">
            <v>592</v>
          </cell>
          <cell r="AL30">
            <v>380.7</v>
          </cell>
          <cell r="AM30">
            <v>27.3</v>
          </cell>
          <cell r="AN30">
            <v>1860</v>
          </cell>
          <cell r="AO30">
            <v>1510</v>
          </cell>
          <cell r="AP30">
            <v>350</v>
          </cell>
          <cell r="AQ30">
            <v>8</v>
          </cell>
          <cell r="AR30">
            <v>42.8</v>
          </cell>
          <cell r="AS30">
            <v>993</v>
          </cell>
          <cell r="AT30">
            <v>44929</v>
          </cell>
          <cell r="AU30">
            <v>44920</v>
          </cell>
          <cell r="AV30">
            <v>9</v>
          </cell>
          <cell r="AW30">
            <v>2660</v>
          </cell>
          <cell r="AX30">
            <v>290</v>
          </cell>
          <cell r="AY30">
            <v>61</v>
          </cell>
          <cell r="AZ30">
            <v>252</v>
          </cell>
          <cell r="BA30">
            <v>738</v>
          </cell>
          <cell r="BB30">
            <v>58</v>
          </cell>
          <cell r="BC30">
            <v>149</v>
          </cell>
          <cell r="BD30">
            <v>1168</v>
          </cell>
          <cell r="BE30">
            <v>64.5</v>
          </cell>
          <cell r="BF30">
            <v>69</v>
          </cell>
          <cell r="BG30">
            <v>368</v>
          </cell>
          <cell r="BH30">
            <v>0</v>
          </cell>
          <cell r="BI30">
            <v>290.3</v>
          </cell>
          <cell r="BJ30">
            <v>259</v>
          </cell>
          <cell r="BK30">
            <v>31.3</v>
          </cell>
          <cell r="BL30">
            <v>854</v>
          </cell>
          <cell r="BM30">
            <v>404</v>
          </cell>
          <cell r="BN30">
            <v>450</v>
          </cell>
          <cell r="BO30">
            <v>170</v>
          </cell>
          <cell r="BP30">
            <v>369</v>
          </cell>
          <cell r="BQ30">
            <v>373</v>
          </cell>
          <cell r="BR30">
            <v>230</v>
          </cell>
          <cell r="BS30">
            <v>688</v>
          </cell>
          <cell r="BT30">
            <v>83</v>
          </cell>
          <cell r="BU30">
            <v>209</v>
          </cell>
          <cell r="BV30">
            <v>295</v>
          </cell>
          <cell r="BW30">
            <v>94.1</v>
          </cell>
          <cell r="BX30">
            <v>84</v>
          </cell>
          <cell r="BY30">
            <v>343.1</v>
          </cell>
          <cell r="BZ30">
            <v>323</v>
          </cell>
          <cell r="CA30">
            <v>13.4</v>
          </cell>
          <cell r="CB30">
            <v>6.7</v>
          </cell>
          <cell r="CC30">
            <v>174.9</v>
          </cell>
          <cell r="CD30">
            <v>2539.1999999999998</v>
          </cell>
          <cell r="CE30">
            <v>2409</v>
          </cell>
          <cell r="CF30">
            <v>130.19999999999999</v>
          </cell>
          <cell r="CG30">
            <v>446</v>
          </cell>
          <cell r="CH30">
            <v>49</v>
          </cell>
          <cell r="CI30">
            <v>42</v>
          </cell>
          <cell r="CJ30">
            <v>71.8</v>
          </cell>
          <cell r="CK30">
            <v>158</v>
          </cell>
          <cell r="CL30">
            <v>767.6</v>
          </cell>
          <cell r="CM30">
            <v>77.900000000000006</v>
          </cell>
          <cell r="CN30">
            <v>0</v>
          </cell>
          <cell r="CO30">
            <v>887</v>
          </cell>
          <cell r="CP30">
            <v>799</v>
          </cell>
          <cell r="CQ30">
            <v>16.2</v>
          </cell>
          <cell r="CR30">
            <v>71.8</v>
          </cell>
          <cell r="CS30">
            <v>85.4</v>
          </cell>
          <cell r="CT30">
            <v>868</v>
          </cell>
          <cell r="CU30">
            <v>268.8</v>
          </cell>
          <cell r="CV30">
            <v>86</v>
          </cell>
          <cell r="CW30">
            <v>45.4</v>
          </cell>
          <cell r="CX30">
            <v>19.3</v>
          </cell>
          <cell r="CY30">
            <v>258.39999999999998</v>
          </cell>
          <cell r="CZ30">
            <v>419</v>
          </cell>
          <cell r="DA30">
            <v>139.69999999999999</v>
          </cell>
        </row>
        <row r="31">
          <cell r="A31" t="str">
            <v>Circuit kilometers 2 phase</v>
          </cell>
          <cell r="B31" t="str">
            <v>KMC2</v>
          </cell>
          <cell r="C31">
            <v>2003</v>
          </cell>
          <cell r="D31">
            <v>0</v>
          </cell>
          <cell r="E31">
            <v>0</v>
          </cell>
          <cell r="F31">
            <v>3.5</v>
          </cell>
          <cell r="G31">
            <v>19</v>
          </cell>
          <cell r="H31">
            <v>0</v>
          </cell>
          <cell r="I31">
            <v>0</v>
          </cell>
          <cell r="J31">
            <v>2</v>
          </cell>
          <cell r="K31">
            <v>0</v>
          </cell>
          <cell r="L31">
            <v>2.2000000000000002</v>
          </cell>
          <cell r="M31">
            <v>2.5</v>
          </cell>
          <cell r="N31">
            <v>1</v>
          </cell>
          <cell r="O31">
            <v>0</v>
          </cell>
          <cell r="P31">
            <v>1.6</v>
          </cell>
          <cell r="Q31">
            <v>0</v>
          </cell>
          <cell r="R31">
            <v>0</v>
          </cell>
          <cell r="S31">
            <v>1.3</v>
          </cell>
          <cell r="T31">
            <v>91</v>
          </cell>
          <cell r="U31">
            <v>26.2</v>
          </cell>
          <cell r="V31">
            <v>4</v>
          </cell>
          <cell r="W31">
            <v>0.7</v>
          </cell>
          <cell r="X31">
            <v>0.1</v>
          </cell>
          <cell r="Y31">
            <v>5.7</v>
          </cell>
          <cell r="Z31">
            <v>0</v>
          </cell>
          <cell r="AA31">
            <v>8.8000000000000007</v>
          </cell>
          <cell r="AB31">
            <v>0.2</v>
          </cell>
          <cell r="AC31">
            <v>0</v>
          </cell>
          <cell r="AD31">
            <v>0</v>
          </cell>
          <cell r="AE31">
            <v>0</v>
          </cell>
          <cell r="AF31">
            <v>0</v>
          </cell>
          <cell r="AG31">
            <v>0.3</v>
          </cell>
          <cell r="AH31">
            <v>0</v>
          </cell>
          <cell r="AI31">
            <v>0</v>
          </cell>
          <cell r="AJ31">
            <v>0</v>
          </cell>
          <cell r="AK31">
            <v>59</v>
          </cell>
          <cell r="AL31">
            <v>0</v>
          </cell>
          <cell r="AM31">
            <v>0</v>
          </cell>
          <cell r="AN31">
            <v>79.5</v>
          </cell>
          <cell r="AO31">
            <v>79</v>
          </cell>
          <cell r="AP31">
            <v>0.5</v>
          </cell>
          <cell r="AQ31">
            <v>4</v>
          </cell>
          <cell r="AR31">
            <v>0</v>
          </cell>
          <cell r="AS31">
            <v>20</v>
          </cell>
          <cell r="AT31">
            <v>3560</v>
          </cell>
          <cell r="AU31">
            <v>3560</v>
          </cell>
          <cell r="AV31">
            <v>0</v>
          </cell>
          <cell r="AW31">
            <v>200</v>
          </cell>
          <cell r="AX31">
            <v>4</v>
          </cell>
          <cell r="AY31">
            <v>0</v>
          </cell>
          <cell r="AZ31">
            <v>0</v>
          </cell>
          <cell r="BA31">
            <v>0</v>
          </cell>
          <cell r="BB31">
            <v>0</v>
          </cell>
          <cell r="BC31">
            <v>49</v>
          </cell>
          <cell r="BD31">
            <v>0</v>
          </cell>
          <cell r="BE31">
            <v>0</v>
          </cell>
          <cell r="BF31">
            <v>12</v>
          </cell>
          <cell r="BG31">
            <v>26</v>
          </cell>
          <cell r="BH31">
            <v>0</v>
          </cell>
          <cell r="BI31">
            <v>367.1</v>
          </cell>
          <cell r="BJ31">
            <v>360</v>
          </cell>
          <cell r="BK31">
            <v>7.1</v>
          </cell>
          <cell r="BL31">
            <v>2</v>
          </cell>
          <cell r="BM31">
            <v>2</v>
          </cell>
          <cell r="BN31">
            <v>0</v>
          </cell>
          <cell r="BO31">
            <v>6</v>
          </cell>
          <cell r="BP31">
            <v>0</v>
          </cell>
          <cell r="BQ31">
            <v>7</v>
          </cell>
          <cell r="BR31">
            <v>0</v>
          </cell>
          <cell r="BS31">
            <v>0</v>
          </cell>
          <cell r="BT31">
            <v>0</v>
          </cell>
          <cell r="BU31">
            <v>5.7</v>
          </cell>
          <cell r="BV31">
            <v>0</v>
          </cell>
          <cell r="BW31">
            <v>1.5</v>
          </cell>
          <cell r="BX31">
            <v>0</v>
          </cell>
          <cell r="BY31">
            <v>20.2</v>
          </cell>
          <cell r="BZ31">
            <v>19</v>
          </cell>
          <cell r="CA31">
            <v>1.2</v>
          </cell>
          <cell r="CB31">
            <v>0</v>
          </cell>
          <cell r="CC31">
            <v>0</v>
          </cell>
          <cell r="CD31">
            <v>50</v>
          </cell>
          <cell r="CE31">
            <v>50</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6.6</v>
          </cell>
          <cell r="CT31">
            <v>39</v>
          </cell>
          <cell r="CU31">
            <v>0</v>
          </cell>
          <cell r="CV31">
            <v>0</v>
          </cell>
          <cell r="CW31">
            <v>0</v>
          </cell>
          <cell r="CX31">
            <v>0</v>
          </cell>
          <cell r="CY31">
            <v>0.5</v>
          </cell>
          <cell r="CZ31">
            <v>7</v>
          </cell>
          <cell r="DA31">
            <v>0</v>
          </cell>
        </row>
        <row r="32">
          <cell r="A32" t="str">
            <v>Circuit kms single phase</v>
          </cell>
          <cell r="B32" t="str">
            <v>KMC1</v>
          </cell>
          <cell r="C32">
            <v>2003</v>
          </cell>
          <cell r="D32">
            <v>45.5</v>
          </cell>
          <cell r="E32">
            <v>670</v>
          </cell>
          <cell r="F32">
            <v>322.7</v>
          </cell>
          <cell r="G32">
            <v>211</v>
          </cell>
          <cell r="H32">
            <v>236</v>
          </cell>
          <cell r="I32">
            <v>702.8</v>
          </cell>
          <cell r="J32">
            <v>616</v>
          </cell>
          <cell r="K32">
            <v>71.3</v>
          </cell>
          <cell r="L32">
            <v>9.4</v>
          </cell>
          <cell r="M32">
            <v>273.5</v>
          </cell>
          <cell r="N32">
            <v>10</v>
          </cell>
          <cell r="O32">
            <v>192</v>
          </cell>
          <cell r="P32">
            <v>15.8</v>
          </cell>
          <cell r="Q32">
            <v>2.4</v>
          </cell>
          <cell r="R32">
            <v>0</v>
          </cell>
          <cell r="S32">
            <v>116.5</v>
          </cell>
          <cell r="T32">
            <v>1870</v>
          </cell>
          <cell r="U32">
            <v>459.9</v>
          </cell>
          <cell r="V32">
            <v>105</v>
          </cell>
          <cell r="W32">
            <v>101.7</v>
          </cell>
          <cell r="X32">
            <v>279</v>
          </cell>
          <cell r="Y32">
            <v>123.3</v>
          </cell>
          <cell r="Z32">
            <v>0</v>
          </cell>
          <cell r="AA32">
            <v>27.3</v>
          </cell>
          <cell r="AB32">
            <v>2.5</v>
          </cell>
          <cell r="AC32">
            <v>0</v>
          </cell>
          <cell r="AD32">
            <v>15.5</v>
          </cell>
          <cell r="AE32">
            <v>0</v>
          </cell>
          <cell r="AF32">
            <v>15.5</v>
          </cell>
          <cell r="AG32">
            <v>125</v>
          </cell>
          <cell r="AH32">
            <v>494.5</v>
          </cell>
          <cell r="AI32">
            <v>470</v>
          </cell>
          <cell r="AJ32">
            <v>24.5</v>
          </cell>
          <cell r="AK32">
            <v>980</v>
          </cell>
          <cell r="AL32">
            <v>848.9</v>
          </cell>
          <cell r="AM32">
            <v>41.1</v>
          </cell>
          <cell r="AN32">
            <v>1239</v>
          </cell>
          <cell r="AO32">
            <v>868</v>
          </cell>
          <cell r="AP32">
            <v>371</v>
          </cell>
          <cell r="AQ32">
            <v>10.6</v>
          </cell>
          <cell r="AR32">
            <v>20.9</v>
          </cell>
          <cell r="AS32">
            <v>1276</v>
          </cell>
          <cell r="AT32">
            <v>70571.399999999994</v>
          </cell>
          <cell r="AU32">
            <v>70560</v>
          </cell>
          <cell r="AV32">
            <v>11.4</v>
          </cell>
          <cell r="AW32">
            <v>1970</v>
          </cell>
          <cell r="AX32">
            <v>296</v>
          </cell>
          <cell r="AY32">
            <v>37</v>
          </cell>
          <cell r="AZ32">
            <v>96</v>
          </cell>
          <cell r="BA32">
            <v>987</v>
          </cell>
          <cell r="BB32">
            <v>42</v>
          </cell>
          <cell r="BC32">
            <v>107</v>
          </cell>
          <cell r="BD32">
            <v>1313</v>
          </cell>
          <cell r="BE32">
            <v>43</v>
          </cell>
          <cell r="BF32">
            <v>24.6</v>
          </cell>
          <cell r="BG32">
            <v>318</v>
          </cell>
          <cell r="BH32">
            <v>0</v>
          </cell>
          <cell r="BI32">
            <v>304.3</v>
          </cell>
          <cell r="BJ32">
            <v>0</v>
          </cell>
          <cell r="BK32">
            <v>304.3</v>
          </cell>
          <cell r="BL32">
            <v>1194</v>
          </cell>
          <cell r="BM32">
            <v>371</v>
          </cell>
          <cell r="BN32">
            <v>823</v>
          </cell>
          <cell r="BO32">
            <v>139</v>
          </cell>
          <cell r="BP32">
            <v>380</v>
          </cell>
          <cell r="BQ32">
            <v>180</v>
          </cell>
          <cell r="BR32">
            <v>170</v>
          </cell>
          <cell r="BS32">
            <v>597</v>
          </cell>
          <cell r="BT32">
            <v>64.5</v>
          </cell>
          <cell r="BU32">
            <v>71.599999999999994</v>
          </cell>
          <cell r="BV32">
            <v>206.7</v>
          </cell>
          <cell r="BW32">
            <v>51.8</v>
          </cell>
          <cell r="BX32">
            <v>44</v>
          </cell>
          <cell r="BY32">
            <v>165.8</v>
          </cell>
          <cell r="BZ32">
            <v>153</v>
          </cell>
          <cell r="CA32">
            <v>8.6999999999999993</v>
          </cell>
          <cell r="CB32">
            <v>4.0999999999999996</v>
          </cell>
          <cell r="CC32">
            <v>93.1</v>
          </cell>
          <cell r="CD32">
            <v>3042.2</v>
          </cell>
          <cell r="CE32">
            <v>2796</v>
          </cell>
          <cell r="CF32">
            <v>246.2</v>
          </cell>
          <cell r="CG32">
            <v>254</v>
          </cell>
          <cell r="CH32">
            <v>20</v>
          </cell>
          <cell r="CI32">
            <v>43</v>
          </cell>
          <cell r="CJ32">
            <v>138.69999999999999</v>
          </cell>
          <cell r="CK32">
            <v>58</v>
          </cell>
          <cell r="CL32">
            <v>581.6</v>
          </cell>
          <cell r="CM32">
            <v>57.2</v>
          </cell>
          <cell r="CN32">
            <v>0</v>
          </cell>
          <cell r="CO32">
            <v>320.10000000000002</v>
          </cell>
          <cell r="CP32">
            <v>135</v>
          </cell>
          <cell r="CQ32">
            <v>14</v>
          </cell>
          <cell r="CR32">
            <v>171.1</v>
          </cell>
          <cell r="CS32">
            <v>109.8</v>
          </cell>
          <cell r="CT32">
            <v>398</v>
          </cell>
          <cell r="CU32">
            <v>148.9</v>
          </cell>
          <cell r="CV32">
            <v>36</v>
          </cell>
          <cell r="CW32">
            <v>19.8</v>
          </cell>
          <cell r="CX32">
            <v>15.3</v>
          </cell>
          <cell r="CY32">
            <v>156.19999999999999</v>
          </cell>
          <cell r="CZ32">
            <v>502.1</v>
          </cell>
          <cell r="DA32">
            <v>106.3</v>
          </cell>
        </row>
        <row r="33">
          <cell r="A33" t="str">
            <v>No transmission transformers</v>
          </cell>
          <cell r="B33" t="str">
            <v>NTRST</v>
          </cell>
          <cell r="C33">
            <v>2003</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1471</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23</v>
          </cell>
          <cell r="AX33">
            <v>0</v>
          </cell>
          <cell r="AY33">
            <v>0</v>
          </cell>
          <cell r="AZ33">
            <v>0</v>
          </cell>
          <cell r="BA33">
            <v>14</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16</v>
          </cell>
          <cell r="CE33">
            <v>16</v>
          </cell>
          <cell r="CF33">
            <v>0</v>
          </cell>
          <cell r="CG33">
            <v>8</v>
          </cell>
          <cell r="CH33">
            <v>0</v>
          </cell>
          <cell r="CI33">
            <v>9</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2003</v>
          </cell>
          <cell r="D34">
            <v>4</v>
          </cell>
          <cell r="E34">
            <v>39</v>
          </cell>
          <cell r="F34">
            <v>23</v>
          </cell>
          <cell r="G34">
            <v>0</v>
          </cell>
          <cell r="H34">
            <v>5</v>
          </cell>
          <cell r="I34">
            <v>44</v>
          </cell>
          <cell r="J34">
            <v>8</v>
          </cell>
          <cell r="K34">
            <v>6</v>
          </cell>
          <cell r="L34">
            <v>0</v>
          </cell>
          <cell r="M34">
            <v>20</v>
          </cell>
          <cell r="N34">
            <v>4</v>
          </cell>
          <cell r="O34">
            <v>11</v>
          </cell>
          <cell r="P34">
            <v>1</v>
          </cell>
          <cell r="Q34">
            <v>0</v>
          </cell>
          <cell r="R34">
            <v>17</v>
          </cell>
          <cell r="S34">
            <v>0</v>
          </cell>
          <cell r="T34">
            <v>108</v>
          </cell>
          <cell r="U34">
            <v>30</v>
          </cell>
          <cell r="V34">
            <v>10</v>
          </cell>
          <cell r="W34">
            <v>0</v>
          </cell>
          <cell r="X34">
            <v>7</v>
          </cell>
          <cell r="Y34">
            <v>11</v>
          </cell>
          <cell r="Z34">
            <v>7</v>
          </cell>
          <cell r="AA34">
            <v>0</v>
          </cell>
          <cell r="AB34">
            <v>0</v>
          </cell>
          <cell r="AC34">
            <v>0</v>
          </cell>
          <cell r="AD34">
            <v>37</v>
          </cell>
          <cell r="AE34">
            <v>30</v>
          </cell>
          <cell r="AF34">
            <v>7</v>
          </cell>
          <cell r="AG34">
            <v>0</v>
          </cell>
          <cell r="AH34">
            <v>1</v>
          </cell>
          <cell r="AI34">
            <v>0</v>
          </cell>
          <cell r="AJ34">
            <v>1</v>
          </cell>
          <cell r="AK34">
            <v>18</v>
          </cell>
          <cell r="AL34">
            <v>70</v>
          </cell>
          <cell r="AM34">
            <v>0</v>
          </cell>
          <cell r="AN34">
            <v>48</v>
          </cell>
          <cell r="AO34">
            <v>48</v>
          </cell>
          <cell r="AP34">
            <v>0</v>
          </cell>
          <cell r="AQ34">
            <v>0</v>
          </cell>
          <cell r="AR34">
            <v>3</v>
          </cell>
          <cell r="AS34">
            <v>26</v>
          </cell>
          <cell r="AT34">
            <v>1682</v>
          </cell>
          <cell r="AU34">
            <v>1682</v>
          </cell>
          <cell r="AV34">
            <v>0</v>
          </cell>
          <cell r="AW34">
            <v>137</v>
          </cell>
          <cell r="AX34">
            <v>15</v>
          </cell>
          <cell r="AY34">
            <v>0</v>
          </cell>
          <cell r="AZ34">
            <v>34</v>
          </cell>
          <cell r="BA34">
            <v>7</v>
          </cell>
          <cell r="BB34">
            <v>0</v>
          </cell>
          <cell r="BC34">
            <v>7</v>
          </cell>
          <cell r="BD34">
            <v>46</v>
          </cell>
          <cell r="BE34">
            <v>0</v>
          </cell>
          <cell r="BF34">
            <v>6</v>
          </cell>
          <cell r="BG34">
            <v>8</v>
          </cell>
          <cell r="BH34">
            <v>0</v>
          </cell>
          <cell r="BI34">
            <v>100</v>
          </cell>
          <cell r="BJ34">
            <v>100</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5</v>
          </cell>
          <cell r="BY34">
            <v>39</v>
          </cell>
          <cell r="BZ34">
            <v>37</v>
          </cell>
          <cell r="CA34">
            <v>2</v>
          </cell>
          <cell r="CB34">
            <v>0</v>
          </cell>
          <cell r="CC34">
            <v>7</v>
          </cell>
          <cell r="CD34">
            <v>25</v>
          </cell>
          <cell r="CE34">
            <v>16</v>
          </cell>
          <cell r="CF34">
            <v>9</v>
          </cell>
          <cell r="CG34">
            <v>33</v>
          </cell>
          <cell r="CH34">
            <v>5</v>
          </cell>
          <cell r="CI34">
            <v>0</v>
          </cell>
          <cell r="CJ34">
            <v>0</v>
          </cell>
          <cell r="CK34">
            <v>0</v>
          </cell>
          <cell r="CL34">
            <v>33</v>
          </cell>
          <cell r="CM34">
            <v>5</v>
          </cell>
          <cell r="CN34">
            <v>0</v>
          </cell>
          <cell r="CO34">
            <v>65</v>
          </cell>
          <cell r="CP34">
            <v>58</v>
          </cell>
          <cell r="CQ34">
            <v>3</v>
          </cell>
          <cell r="CR34">
            <v>4</v>
          </cell>
          <cell r="CS34">
            <v>3</v>
          </cell>
          <cell r="CT34">
            <v>32</v>
          </cell>
          <cell r="CU34">
            <v>522</v>
          </cell>
          <cell r="CV34">
            <v>6</v>
          </cell>
          <cell r="CW34">
            <v>4</v>
          </cell>
          <cell r="CX34">
            <v>0</v>
          </cell>
          <cell r="CY34">
            <v>28</v>
          </cell>
          <cell r="CZ34">
            <v>14</v>
          </cell>
          <cell r="DA34">
            <v>0</v>
          </cell>
        </row>
        <row r="35">
          <cell r="A35" t="str">
            <v>No distribution transformers</v>
          </cell>
          <cell r="B35" t="str">
            <v>NTRFD</v>
          </cell>
          <cell r="C35">
            <v>2003</v>
          </cell>
          <cell r="D35">
            <v>324</v>
          </cell>
          <cell r="E35">
            <v>8306</v>
          </cell>
          <cell r="F35">
            <v>4706</v>
          </cell>
          <cell r="G35">
            <v>2631</v>
          </cell>
          <cell r="H35">
            <v>3034</v>
          </cell>
          <cell r="I35">
            <v>8507</v>
          </cell>
          <cell r="J35">
            <v>6657</v>
          </cell>
          <cell r="K35">
            <v>787</v>
          </cell>
          <cell r="L35">
            <v>1</v>
          </cell>
          <cell r="M35">
            <v>3446</v>
          </cell>
          <cell r="N35">
            <v>239</v>
          </cell>
          <cell r="O35">
            <v>1958</v>
          </cell>
          <cell r="P35">
            <v>263</v>
          </cell>
          <cell r="Q35">
            <v>66</v>
          </cell>
          <cell r="R35">
            <v>600</v>
          </cell>
          <cell r="S35">
            <v>1453</v>
          </cell>
          <cell r="T35">
            <v>24635</v>
          </cell>
          <cell r="U35">
            <v>7846</v>
          </cell>
          <cell r="V35">
            <v>1563</v>
          </cell>
          <cell r="W35">
            <v>608</v>
          </cell>
          <cell r="X35">
            <v>2971</v>
          </cell>
          <cell r="Y35">
            <v>2418</v>
          </cell>
          <cell r="Z35">
            <v>2491</v>
          </cell>
          <cell r="AA35">
            <v>788</v>
          </cell>
          <cell r="AB35">
            <v>113</v>
          </cell>
          <cell r="AC35">
            <v>5238</v>
          </cell>
          <cell r="AD35">
            <v>5484</v>
          </cell>
          <cell r="AE35">
            <v>5066</v>
          </cell>
          <cell r="AF35">
            <v>418</v>
          </cell>
          <cell r="AG35">
            <v>1499</v>
          </cell>
          <cell r="AH35">
            <v>5006</v>
          </cell>
          <cell r="AI35">
            <v>4758</v>
          </cell>
          <cell r="AJ35">
            <v>248</v>
          </cell>
          <cell r="AK35">
            <v>6344</v>
          </cell>
          <cell r="AL35">
            <v>3478</v>
          </cell>
          <cell r="AM35">
            <v>592</v>
          </cell>
          <cell r="AN35">
            <v>23227</v>
          </cell>
          <cell r="AO35">
            <v>17295</v>
          </cell>
          <cell r="AP35">
            <v>5932</v>
          </cell>
          <cell r="AQ35">
            <v>173</v>
          </cell>
          <cell r="AR35">
            <v>732</v>
          </cell>
          <cell r="AS35">
            <v>12671</v>
          </cell>
          <cell r="AT35">
            <v>505790</v>
          </cell>
          <cell r="AU35">
            <v>505619</v>
          </cell>
          <cell r="AV35">
            <v>171</v>
          </cell>
          <cell r="AW35">
            <v>38377</v>
          </cell>
          <cell r="AX35">
            <v>3016</v>
          </cell>
          <cell r="AY35">
            <v>690</v>
          </cell>
          <cell r="AZ35">
            <v>2200</v>
          </cell>
          <cell r="BA35">
            <v>9204</v>
          </cell>
          <cell r="BB35">
            <v>590</v>
          </cell>
          <cell r="BC35">
            <v>1703</v>
          </cell>
          <cell r="BD35">
            <v>14311</v>
          </cell>
          <cell r="BE35">
            <v>1102</v>
          </cell>
          <cell r="BF35">
            <v>1070</v>
          </cell>
          <cell r="BG35">
            <v>3863</v>
          </cell>
          <cell r="BH35">
            <v>0</v>
          </cell>
          <cell r="BI35">
            <v>3725</v>
          </cell>
          <cell r="BJ35">
            <v>3075</v>
          </cell>
          <cell r="BK35">
            <v>650</v>
          </cell>
          <cell r="BL35">
            <v>8102</v>
          </cell>
          <cell r="BM35">
            <v>4060</v>
          </cell>
          <cell r="BN35">
            <v>4042</v>
          </cell>
          <cell r="BO35">
            <v>1603</v>
          </cell>
          <cell r="BP35">
            <v>4950</v>
          </cell>
          <cell r="BQ35">
            <v>3890</v>
          </cell>
          <cell r="BR35">
            <v>725</v>
          </cell>
          <cell r="BS35">
            <v>7500</v>
          </cell>
          <cell r="BT35">
            <v>1225</v>
          </cell>
          <cell r="BU35">
            <v>1673</v>
          </cell>
          <cell r="BV35">
            <v>5687</v>
          </cell>
          <cell r="BW35">
            <v>1592</v>
          </cell>
          <cell r="BX35">
            <v>688</v>
          </cell>
          <cell r="BY35">
            <v>3548</v>
          </cell>
          <cell r="BZ35">
            <v>3112</v>
          </cell>
          <cell r="CA35">
            <v>298</v>
          </cell>
          <cell r="CB35">
            <v>138</v>
          </cell>
          <cell r="CC35">
            <v>2030</v>
          </cell>
          <cell r="CD35">
            <v>31565</v>
          </cell>
          <cell r="CE35">
            <v>29344</v>
          </cell>
          <cell r="CF35">
            <v>2221</v>
          </cell>
          <cell r="CG35">
            <v>5500</v>
          </cell>
          <cell r="CH35">
            <v>425</v>
          </cell>
          <cell r="CI35">
            <v>960</v>
          </cell>
          <cell r="CJ35">
            <v>901</v>
          </cell>
          <cell r="CK35">
            <v>1231</v>
          </cell>
          <cell r="CL35">
            <v>6743</v>
          </cell>
          <cell r="CM35">
            <v>865</v>
          </cell>
          <cell r="CN35">
            <v>59055</v>
          </cell>
          <cell r="CO35">
            <v>14385</v>
          </cell>
          <cell r="CP35">
            <v>12400</v>
          </cell>
          <cell r="CQ35">
            <v>328</v>
          </cell>
          <cell r="CR35">
            <v>1657</v>
          </cell>
          <cell r="CS35">
            <v>1210</v>
          </cell>
          <cell r="CT35">
            <v>8693</v>
          </cell>
          <cell r="CU35">
            <v>1959</v>
          </cell>
          <cell r="CV35">
            <v>671</v>
          </cell>
          <cell r="CW35">
            <v>417</v>
          </cell>
          <cell r="CX35">
            <v>300</v>
          </cell>
          <cell r="CY35">
            <v>2885</v>
          </cell>
          <cell r="CZ35">
            <v>4751</v>
          </cell>
          <cell r="DA35">
            <v>1640</v>
          </cell>
        </row>
        <row r="36">
          <cell r="A36" t="str">
            <v>Utility average load factor</v>
          </cell>
          <cell r="B36" t="str">
            <v>LF</v>
          </cell>
          <cell r="C36">
            <v>2003</v>
          </cell>
          <cell r="D36">
            <v>68.180000000000007</v>
          </cell>
          <cell r="E36" t="str">
            <v>0.58</v>
          </cell>
          <cell r="F36">
            <v>79.010000000000005</v>
          </cell>
          <cell r="G36">
            <v>65</v>
          </cell>
          <cell r="H36">
            <v>63</v>
          </cell>
          <cell r="I36">
            <v>72.7</v>
          </cell>
          <cell r="J36">
            <v>72.27</v>
          </cell>
          <cell r="K36">
            <v>65.67</v>
          </cell>
          <cell r="L36">
            <v>0</v>
          </cell>
          <cell r="M36">
            <v>72.599999999999994</v>
          </cell>
          <cell r="N36">
            <v>70.2</v>
          </cell>
          <cell r="O36">
            <v>75.52</v>
          </cell>
          <cell r="P36">
            <v>0</v>
          </cell>
          <cell r="Q36" t="str">
            <v>0.25</v>
          </cell>
          <cell r="R36">
            <v>64</v>
          </cell>
          <cell r="S36">
            <v>0</v>
          </cell>
          <cell r="T36">
            <v>0</v>
          </cell>
          <cell r="U36">
            <v>81.8</v>
          </cell>
          <cell r="V36">
            <v>73.13</v>
          </cell>
          <cell r="W36">
            <v>71</v>
          </cell>
          <cell r="X36">
            <v>67.7</v>
          </cell>
          <cell r="Y36">
            <v>91.3</v>
          </cell>
          <cell r="Z36">
            <v>64.2</v>
          </cell>
          <cell r="AA36">
            <v>69.87</v>
          </cell>
          <cell r="AB36" t="str">
            <v>0.05</v>
          </cell>
          <cell r="AC36">
            <v>0</v>
          </cell>
          <cell r="AD36">
            <v>0</v>
          </cell>
          <cell r="AE36">
            <v>0</v>
          </cell>
          <cell r="AF36">
            <v>60.58</v>
          </cell>
          <cell r="AG36">
            <v>66.599999999999994</v>
          </cell>
          <cell r="AH36">
            <v>0</v>
          </cell>
          <cell r="AI36">
            <v>0</v>
          </cell>
          <cell r="AJ36">
            <v>0</v>
          </cell>
          <cell r="AK36">
            <v>61.48</v>
          </cell>
          <cell r="AL36">
            <v>80.33</v>
          </cell>
          <cell r="AM36">
            <v>0</v>
          </cell>
          <cell r="AN36">
            <v>0</v>
          </cell>
          <cell r="AO36">
            <v>71.77</v>
          </cell>
          <cell r="AP36">
            <v>0</v>
          </cell>
          <cell r="AQ36">
            <v>0</v>
          </cell>
          <cell r="AR36">
            <v>0</v>
          </cell>
          <cell r="AS36">
            <v>0</v>
          </cell>
          <cell r="AT36">
            <v>0</v>
          </cell>
          <cell r="AU36">
            <v>0</v>
          </cell>
          <cell r="AV36" t="str">
            <v>0.68</v>
          </cell>
          <cell r="AW36" t="str">
            <v>0.72</v>
          </cell>
          <cell r="AX36">
            <v>55</v>
          </cell>
          <cell r="AY36">
            <v>72.2</v>
          </cell>
          <cell r="AZ36" t="str">
            <v>0.74</v>
          </cell>
          <cell r="BA36">
            <v>73.3</v>
          </cell>
          <cell r="BB36" t="str">
            <v>0.68</v>
          </cell>
          <cell r="BC36">
            <v>72.88</v>
          </cell>
          <cell r="BD36">
            <v>72.900000000000006</v>
          </cell>
          <cell r="BE36">
            <v>68</v>
          </cell>
          <cell r="BF36">
            <v>86.5</v>
          </cell>
          <cell r="BG36">
            <v>0</v>
          </cell>
          <cell r="BH36">
            <v>0</v>
          </cell>
          <cell r="BI36">
            <v>0</v>
          </cell>
          <cell r="BJ36">
            <v>0</v>
          </cell>
          <cell r="BK36">
            <v>69.819999999999993</v>
          </cell>
          <cell r="BL36">
            <v>0</v>
          </cell>
          <cell r="BM36">
            <v>0</v>
          </cell>
          <cell r="BN36">
            <v>88</v>
          </cell>
          <cell r="BO36">
            <v>76.599999999999994</v>
          </cell>
          <cell r="BP36" t="str">
            <v>0.71</v>
          </cell>
          <cell r="BQ36" t="str">
            <v>0.58</v>
          </cell>
          <cell r="BR36">
            <v>0</v>
          </cell>
          <cell r="BS36">
            <v>74.2</v>
          </cell>
          <cell r="BT36">
            <v>70.75</v>
          </cell>
          <cell r="BU36">
            <v>73</v>
          </cell>
          <cell r="BV36">
            <v>76.459999999999994</v>
          </cell>
          <cell r="BW36">
            <v>60</v>
          </cell>
          <cell r="BX36">
            <v>68.06</v>
          </cell>
          <cell r="BY36">
            <v>0</v>
          </cell>
          <cell r="BZ36">
            <v>71.72</v>
          </cell>
          <cell r="CA36">
            <v>70.55</v>
          </cell>
          <cell r="CB36">
            <v>70.11</v>
          </cell>
          <cell r="CC36">
            <v>56</v>
          </cell>
          <cell r="CD36">
            <v>0</v>
          </cell>
          <cell r="CE36">
            <v>68.73</v>
          </cell>
          <cell r="CF36">
            <v>0.69</v>
          </cell>
          <cell r="CG36">
            <v>75.400000000000006</v>
          </cell>
          <cell r="CH36">
            <v>70</v>
          </cell>
          <cell r="CI36">
            <v>0</v>
          </cell>
          <cell r="CJ36">
            <v>8.64</v>
          </cell>
          <cell r="CK36">
            <v>0</v>
          </cell>
          <cell r="CL36">
            <v>73.209999999999994</v>
          </cell>
          <cell r="CM36">
            <v>0</v>
          </cell>
          <cell r="CN36">
            <v>74.16</v>
          </cell>
          <cell r="CO36">
            <v>0</v>
          </cell>
          <cell r="CP36">
            <v>73.319999999999993</v>
          </cell>
          <cell r="CQ36">
            <v>71.099999999999994</v>
          </cell>
          <cell r="CR36">
            <v>74.61</v>
          </cell>
          <cell r="CS36">
            <v>0</v>
          </cell>
          <cell r="CT36">
            <v>0</v>
          </cell>
          <cell r="CU36" t="str">
            <v>0.70</v>
          </cell>
          <cell r="CV36">
            <v>72.8</v>
          </cell>
          <cell r="CW36">
            <v>67</v>
          </cell>
          <cell r="CX36">
            <v>0</v>
          </cell>
          <cell r="CY36">
            <v>0</v>
          </cell>
          <cell r="CZ36">
            <v>70.599999999999994</v>
          </cell>
          <cell r="DA36">
            <v>72</v>
          </cell>
        </row>
      </sheetData>
      <sheetData sheetId="4" refreshError="1">
        <row r="1">
          <cell r="A1" t="str">
            <v>Distributor Data for Year ended Dec 31st, 2004</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Plant Additions</v>
          </cell>
          <cell r="B6" t="str">
            <v>PADD</v>
          </cell>
          <cell r="C6">
            <v>2004</v>
          </cell>
          <cell r="D6">
            <v>162007</v>
          </cell>
          <cell r="E6">
            <v>17687211</v>
          </cell>
          <cell r="F6">
            <v>4391837</v>
          </cell>
          <cell r="G6">
            <v>2028044</v>
          </cell>
          <cell r="H6">
            <v>2929226</v>
          </cell>
          <cell r="I6">
            <v>8361061.0300000003</v>
          </cell>
          <cell r="J6">
            <v>5993983</v>
          </cell>
          <cell r="K6">
            <v>580681.01</v>
          </cell>
          <cell r="L6">
            <v>34785.72</v>
          </cell>
          <cell r="M6">
            <v>4157245</v>
          </cell>
          <cell r="N6">
            <v>59556.1</v>
          </cell>
          <cell r="O6">
            <v>4406457.51</v>
          </cell>
          <cell r="P6">
            <v>57357</v>
          </cell>
          <cell r="Q6">
            <v>4</v>
          </cell>
          <cell r="R6">
            <v>1902889</v>
          </cell>
          <cell r="S6">
            <v>1115077.3500000001</v>
          </cell>
          <cell r="T6">
            <v>34917020</v>
          </cell>
          <cell r="U6">
            <v>8133430</v>
          </cell>
          <cell r="V6">
            <v>1301874.6000000001</v>
          </cell>
          <cell r="W6">
            <v>220869</v>
          </cell>
          <cell r="X6">
            <v>1195394</v>
          </cell>
          <cell r="Y6">
            <v>3049295.07</v>
          </cell>
          <cell r="Z6">
            <v>4532706.05</v>
          </cell>
          <cell r="AA6">
            <v>87334.399999999994</v>
          </cell>
          <cell r="AB6" t="str">
            <v>0.00</v>
          </cell>
          <cell r="AC6" t="str">
            <v>0.00</v>
          </cell>
          <cell r="AD6">
            <v>3533585.46</v>
          </cell>
          <cell r="AE6">
            <v>3533585.46</v>
          </cell>
          <cell r="AF6" t="str">
            <v>0.00</v>
          </cell>
          <cell r="AG6">
            <v>1632846.85</v>
          </cell>
          <cell r="AH6">
            <v>8010280</v>
          </cell>
          <cell r="AI6">
            <v>7900148</v>
          </cell>
          <cell r="AJ6">
            <v>110132</v>
          </cell>
          <cell r="AK6">
            <v>2326260.02</v>
          </cell>
          <cell r="AL6">
            <v>2343561</v>
          </cell>
          <cell r="AM6">
            <v>46287</v>
          </cell>
          <cell r="AN6">
            <v>21241418.550000001</v>
          </cell>
          <cell r="AO6">
            <v>16095010.550000001</v>
          </cell>
          <cell r="AP6">
            <v>5146408</v>
          </cell>
          <cell r="AQ6">
            <v>34049.4</v>
          </cell>
          <cell r="AR6">
            <v>97267.22</v>
          </cell>
          <cell r="AS6">
            <v>15526000</v>
          </cell>
          <cell r="AT6">
            <v>269310397.38</v>
          </cell>
          <cell r="AU6">
            <v>269300000</v>
          </cell>
          <cell r="AV6">
            <v>10397.379999999999</v>
          </cell>
          <cell r="AW6">
            <v>51772658</v>
          </cell>
          <cell r="AX6">
            <v>1372891</v>
          </cell>
          <cell r="AY6">
            <v>444569</v>
          </cell>
          <cell r="AZ6">
            <v>1999873.35</v>
          </cell>
          <cell r="BA6">
            <v>16504371.15</v>
          </cell>
          <cell r="BB6">
            <v>572818</v>
          </cell>
          <cell r="BC6">
            <v>1214937.76</v>
          </cell>
          <cell r="BD6">
            <v>16633636</v>
          </cell>
          <cell r="BE6">
            <v>507893</v>
          </cell>
          <cell r="BF6">
            <v>485284</v>
          </cell>
          <cell r="BG6">
            <v>7714070</v>
          </cell>
          <cell r="BH6" t="str">
            <v>0.00</v>
          </cell>
          <cell r="BI6">
            <v>6503173.6600000001</v>
          </cell>
          <cell r="BJ6">
            <v>6346507.8799999999</v>
          </cell>
          <cell r="BK6">
            <v>156665.78</v>
          </cell>
          <cell r="BL6">
            <v>13706034</v>
          </cell>
          <cell r="BM6">
            <v>10132494</v>
          </cell>
          <cell r="BN6">
            <v>3573540</v>
          </cell>
          <cell r="BO6">
            <v>1795074.67</v>
          </cell>
          <cell r="BP6">
            <v>7982452</v>
          </cell>
          <cell r="BQ6">
            <v>1839271</v>
          </cell>
          <cell r="BR6">
            <v>113179</v>
          </cell>
          <cell r="BS6">
            <v>7974442</v>
          </cell>
          <cell r="BT6">
            <v>925693</v>
          </cell>
          <cell r="BU6">
            <v>1822249</v>
          </cell>
          <cell r="BV6">
            <v>8104180</v>
          </cell>
          <cell r="BW6">
            <v>1126916.24</v>
          </cell>
          <cell r="BX6">
            <v>357344.19</v>
          </cell>
          <cell r="BY6">
            <v>4995123</v>
          </cell>
          <cell r="BZ6">
            <v>112131</v>
          </cell>
          <cell r="CA6">
            <v>4612605</v>
          </cell>
          <cell r="CB6">
            <v>270387</v>
          </cell>
          <cell r="CC6">
            <v>2319621.9900000002</v>
          </cell>
          <cell r="CD6">
            <v>51184449</v>
          </cell>
          <cell r="CE6">
            <v>48921995</v>
          </cell>
          <cell r="CF6">
            <v>2262454</v>
          </cell>
          <cell r="CG6">
            <v>2759696</v>
          </cell>
          <cell r="CH6">
            <v>386114</v>
          </cell>
          <cell r="CI6">
            <v>296720</v>
          </cell>
          <cell r="CJ6">
            <v>384135.94</v>
          </cell>
          <cell r="CK6">
            <v>2054807.66</v>
          </cell>
          <cell r="CL6">
            <v>5651742</v>
          </cell>
          <cell r="CM6">
            <v>924694</v>
          </cell>
          <cell r="CN6">
            <v>130014363</v>
          </cell>
          <cell r="CO6">
            <v>10253923.119999999</v>
          </cell>
          <cell r="CP6">
            <v>9357941</v>
          </cell>
          <cell r="CQ6">
            <v>55853</v>
          </cell>
          <cell r="CR6">
            <v>840129.12</v>
          </cell>
          <cell r="CS6">
            <v>1117618.94</v>
          </cell>
          <cell r="CT6">
            <v>10791993</v>
          </cell>
          <cell r="CU6">
            <v>1601220</v>
          </cell>
          <cell r="CV6">
            <v>487848.27</v>
          </cell>
          <cell r="CW6" t="str">
            <v>0.00</v>
          </cell>
          <cell r="CX6">
            <v>77520.27</v>
          </cell>
          <cell r="CY6">
            <v>2630024</v>
          </cell>
          <cell r="CZ6">
            <v>6622832</v>
          </cell>
          <cell r="DA6">
            <v>1820410.05</v>
          </cell>
        </row>
        <row r="7">
          <cell r="A7" t="str">
            <v>OM&amp;A Expense</v>
          </cell>
          <cell r="B7" t="str">
            <v>COMA</v>
          </cell>
          <cell r="C7">
            <v>2004</v>
          </cell>
          <cell r="D7">
            <v>654855.23</v>
          </cell>
          <cell r="E7">
            <v>8204178</v>
          </cell>
          <cell r="F7">
            <v>8511732</v>
          </cell>
          <cell r="G7">
            <v>2894173.0300000007</v>
          </cell>
          <cell r="H7">
            <v>6869061.8199999994</v>
          </cell>
          <cell r="I7">
            <v>10182464.400000002</v>
          </cell>
          <cell r="J7">
            <v>7665050</v>
          </cell>
          <cell r="K7">
            <v>1393229.45</v>
          </cell>
          <cell r="L7">
            <v>472042.92000000004</v>
          </cell>
          <cell r="M7">
            <v>4977199</v>
          </cell>
          <cell r="N7">
            <v>333558.49000000005</v>
          </cell>
          <cell r="O7">
            <v>2543664.9900000002</v>
          </cell>
          <cell r="P7">
            <v>289734.19</v>
          </cell>
          <cell r="Q7">
            <v>217102.94</v>
          </cell>
          <cell r="R7">
            <v>958101.64</v>
          </cell>
          <cell r="S7">
            <v>1602289.93</v>
          </cell>
          <cell r="T7">
            <v>35789687</v>
          </cell>
          <cell r="U7">
            <v>22296906</v>
          </cell>
          <cell r="V7">
            <v>4105011.1100000003</v>
          </cell>
          <cell r="W7">
            <v>727117.47000000009</v>
          </cell>
          <cell r="X7">
            <v>5555232.7800000003</v>
          </cell>
          <cell r="Y7">
            <v>3118785.8899999997</v>
          </cell>
          <cell r="Z7">
            <v>3717728.76</v>
          </cell>
          <cell r="AA7">
            <v>980166.29</v>
          </cell>
          <cell r="AB7">
            <v>169475.7</v>
          </cell>
          <cell r="AC7">
            <v>6637107.5300000003</v>
          </cell>
          <cell r="AD7">
            <v>9957041.9499999993</v>
          </cell>
          <cell r="AE7">
            <v>9174685.5700000003</v>
          </cell>
          <cell r="AF7">
            <v>782356.38</v>
          </cell>
          <cell r="AG7">
            <v>1381046.4</v>
          </cell>
          <cell r="AH7">
            <v>8437271.7699999996</v>
          </cell>
          <cell r="AI7">
            <v>8075926.1799999997</v>
          </cell>
          <cell r="AJ7">
            <v>361345.58999999997</v>
          </cell>
          <cell r="AK7">
            <v>5070479.92</v>
          </cell>
          <cell r="AL7">
            <v>3823105</v>
          </cell>
          <cell r="AM7">
            <v>596582.73</v>
          </cell>
          <cell r="AN7">
            <v>32418082.030000001</v>
          </cell>
          <cell r="AO7">
            <v>24696466.629999999</v>
          </cell>
          <cell r="AP7">
            <v>7721615.4000000013</v>
          </cell>
          <cell r="AQ7">
            <v>154817.92000000001</v>
          </cell>
          <cell r="AR7">
            <v>608753.30000000005</v>
          </cell>
          <cell r="AS7">
            <v>12602345.309999999</v>
          </cell>
          <cell r="AT7">
            <v>302317018.30000001</v>
          </cell>
          <cell r="AU7">
            <v>302052900</v>
          </cell>
          <cell r="AV7">
            <v>264118.3</v>
          </cell>
          <cell r="AW7">
            <v>33999838.969999999</v>
          </cell>
          <cell r="AX7">
            <v>2628204.58</v>
          </cell>
          <cell r="AY7">
            <v>1233342.5200000003</v>
          </cell>
          <cell r="AZ7">
            <v>5113846.7699999996</v>
          </cell>
          <cell r="BA7">
            <v>9825409.3600000013</v>
          </cell>
          <cell r="BB7">
            <v>1340110.21</v>
          </cell>
          <cell r="BC7">
            <v>1902962.18</v>
          </cell>
          <cell r="BD7">
            <v>20879399.979999997</v>
          </cell>
          <cell r="BE7">
            <v>1159949.3800000001</v>
          </cell>
          <cell r="BF7">
            <v>1636670.8299999998</v>
          </cell>
          <cell r="BG7">
            <v>3521538.38</v>
          </cell>
          <cell r="BH7">
            <v>49045</v>
          </cell>
          <cell r="BI7">
            <v>5588598.04</v>
          </cell>
          <cell r="BJ7">
            <v>4824220</v>
          </cell>
          <cell r="BK7">
            <v>764378.04</v>
          </cell>
          <cell r="BL7">
            <v>11425430.459999999</v>
          </cell>
          <cell r="BM7">
            <v>7261518.9800000004</v>
          </cell>
          <cell r="BN7">
            <v>4163911.4800000004</v>
          </cell>
          <cell r="BO7">
            <v>1382828.8199999998</v>
          </cell>
          <cell r="BP7">
            <v>3721042.0599999996</v>
          </cell>
          <cell r="BQ7">
            <v>4973047</v>
          </cell>
          <cell r="BR7">
            <v>1742688.93</v>
          </cell>
          <cell r="BS7">
            <v>10348591.390000001</v>
          </cell>
          <cell r="BT7">
            <v>1647185.4900000002</v>
          </cell>
          <cell r="BU7">
            <v>2729048.64</v>
          </cell>
          <cell r="BV7">
            <v>7593543.1900000004</v>
          </cell>
          <cell r="BW7">
            <v>1919475.83</v>
          </cell>
          <cell r="BX7">
            <v>921928.54</v>
          </cell>
          <cell r="BY7">
            <v>5103360.25</v>
          </cell>
          <cell r="BZ7">
            <v>149512.60999999999</v>
          </cell>
          <cell r="CA7">
            <v>4669143.5200000005</v>
          </cell>
          <cell r="CB7">
            <v>284704.12</v>
          </cell>
          <cell r="CC7">
            <v>1554292.2799999998</v>
          </cell>
          <cell r="CD7">
            <v>36862986.859999999</v>
          </cell>
          <cell r="CE7">
            <v>33985015.25</v>
          </cell>
          <cell r="CF7">
            <v>2877971.6100000003</v>
          </cell>
          <cell r="CG7">
            <v>6830817</v>
          </cell>
          <cell r="CH7">
            <v>745252.56</v>
          </cell>
          <cell r="CI7">
            <v>1186238.1100000001</v>
          </cell>
          <cell r="CJ7">
            <v>913441.41999999993</v>
          </cell>
          <cell r="CK7">
            <v>2651351.9099999997</v>
          </cell>
          <cell r="CL7">
            <v>10258976</v>
          </cell>
          <cell r="CM7">
            <v>1300196.1200000001</v>
          </cell>
          <cell r="CN7">
            <v>142837889.91999999</v>
          </cell>
          <cell r="CO7">
            <v>19383374.739999998</v>
          </cell>
          <cell r="CP7">
            <v>17523314</v>
          </cell>
          <cell r="CQ7">
            <v>452357.21</v>
          </cell>
          <cell r="CR7">
            <v>1407703.53</v>
          </cell>
          <cell r="CS7">
            <v>1346985.5800000003</v>
          </cell>
          <cell r="CT7">
            <v>8328678.3399999999</v>
          </cell>
          <cell r="CU7">
            <v>4028788.14</v>
          </cell>
          <cell r="CV7">
            <v>866232.99</v>
          </cell>
          <cell r="CW7">
            <v>1111449.5400000003</v>
          </cell>
          <cell r="CX7">
            <v>491452.87</v>
          </cell>
          <cell r="CY7">
            <v>4365613</v>
          </cell>
          <cell r="CZ7">
            <v>6631739</v>
          </cell>
          <cell r="DA7">
            <v>2843775.92</v>
          </cell>
        </row>
        <row r="8">
          <cell r="A8" t="str">
            <v>Income Taxes</v>
          </cell>
          <cell r="B8" t="str">
            <v>CTAXINC</v>
          </cell>
          <cell r="C8">
            <v>2004</v>
          </cell>
          <cell r="D8">
            <v>0</v>
          </cell>
          <cell r="E8">
            <v>4727355</v>
          </cell>
          <cell r="F8">
            <v>249000</v>
          </cell>
          <cell r="G8">
            <v>-32580</v>
          </cell>
          <cell r="H8">
            <v>32000</v>
          </cell>
          <cell r="I8">
            <v>1709950</v>
          </cell>
          <cell r="J8">
            <v>1595908</v>
          </cell>
          <cell r="K8">
            <v>138384.79999999999</v>
          </cell>
          <cell r="L8">
            <v>0</v>
          </cell>
          <cell r="M8">
            <v>906497</v>
          </cell>
          <cell r="N8">
            <v>0</v>
          </cell>
          <cell r="O8">
            <v>104947</v>
          </cell>
          <cell r="P8">
            <v>1609</v>
          </cell>
          <cell r="Q8">
            <v>0</v>
          </cell>
          <cell r="R8">
            <v>132921.35999999999</v>
          </cell>
          <cell r="S8">
            <v>390000</v>
          </cell>
          <cell r="T8">
            <v>4826841</v>
          </cell>
          <cell r="U8">
            <v>277500</v>
          </cell>
          <cell r="V8">
            <v>172694.26</v>
          </cell>
          <cell r="W8">
            <v>0</v>
          </cell>
          <cell r="X8">
            <v>301216</v>
          </cell>
          <cell r="Y8">
            <v>657000</v>
          </cell>
          <cell r="Z8">
            <v>88717.42</v>
          </cell>
          <cell r="AA8">
            <v>3396</v>
          </cell>
          <cell r="AB8">
            <v>-3324</v>
          </cell>
          <cell r="AC8">
            <v>902193.07</v>
          </cell>
          <cell r="AD8">
            <v>-327670.38</v>
          </cell>
          <cell r="AE8">
            <v>-309870.38</v>
          </cell>
          <cell r="AF8">
            <v>-17800</v>
          </cell>
          <cell r="AG8">
            <v>128601.32</v>
          </cell>
          <cell r="AH8">
            <v>2271440.56</v>
          </cell>
          <cell r="AI8">
            <v>2271409.56</v>
          </cell>
          <cell r="AJ8">
            <v>31</v>
          </cell>
          <cell r="AK8">
            <v>1433349.81</v>
          </cell>
          <cell r="AL8">
            <v>412562</v>
          </cell>
          <cell r="AM8">
            <v>10025</v>
          </cell>
          <cell r="AN8">
            <v>6456730.2300000004</v>
          </cell>
          <cell r="AO8">
            <v>4506411.78</v>
          </cell>
          <cell r="AP8">
            <v>1950318.45</v>
          </cell>
          <cell r="AQ8">
            <v>24668</v>
          </cell>
          <cell r="AR8">
            <v>122644</v>
          </cell>
          <cell r="AS8">
            <v>6893496.04</v>
          </cell>
          <cell r="AT8">
            <v>39288400</v>
          </cell>
          <cell r="AU8">
            <v>39288400</v>
          </cell>
          <cell r="AV8">
            <v>0</v>
          </cell>
          <cell r="AW8">
            <v>0</v>
          </cell>
          <cell r="AX8">
            <v>0</v>
          </cell>
          <cell r="AY8">
            <v>17162.21</v>
          </cell>
          <cell r="AZ8">
            <v>0</v>
          </cell>
          <cell r="BA8">
            <v>3510545</v>
          </cell>
          <cell r="BB8">
            <v>660000</v>
          </cell>
          <cell r="BC8">
            <v>642442</v>
          </cell>
          <cell r="BD8">
            <v>2383100</v>
          </cell>
          <cell r="BE8">
            <v>0</v>
          </cell>
          <cell r="BF8">
            <v>0</v>
          </cell>
          <cell r="BG8">
            <v>680300.23</v>
          </cell>
          <cell r="BH8">
            <v>0</v>
          </cell>
          <cell r="BI8">
            <v>574240.30000000005</v>
          </cell>
          <cell r="BJ8">
            <v>561042</v>
          </cell>
          <cell r="BK8">
            <v>13198.3</v>
          </cell>
          <cell r="BL8">
            <v>1442898.19</v>
          </cell>
          <cell r="BM8">
            <v>1068898.19</v>
          </cell>
          <cell r="BN8">
            <v>374000</v>
          </cell>
          <cell r="BO8">
            <v>179500</v>
          </cell>
          <cell r="BP8">
            <v>96735.89</v>
          </cell>
          <cell r="BQ8">
            <v>1011000</v>
          </cell>
          <cell r="BR8">
            <v>0</v>
          </cell>
          <cell r="BS8">
            <v>822703.06</v>
          </cell>
          <cell r="BT8">
            <v>540276</v>
          </cell>
          <cell r="BU8">
            <v>678950</v>
          </cell>
          <cell r="BV8">
            <v>0</v>
          </cell>
          <cell r="BW8">
            <v>170833.77</v>
          </cell>
          <cell r="BX8">
            <v>23612</v>
          </cell>
          <cell r="BY8">
            <v>1692853</v>
          </cell>
          <cell r="BZ8">
            <v>6020</v>
          </cell>
          <cell r="CA8">
            <v>1602278</v>
          </cell>
          <cell r="CB8">
            <v>84555</v>
          </cell>
          <cell r="CC8">
            <v>-45015.73</v>
          </cell>
          <cell r="CD8">
            <v>11322409.449999999</v>
          </cell>
          <cell r="CE8">
            <v>10885402.449999999</v>
          </cell>
          <cell r="CF8">
            <v>437007</v>
          </cell>
          <cell r="CG8">
            <v>21810</v>
          </cell>
          <cell r="CH8">
            <v>39746</v>
          </cell>
          <cell r="CI8">
            <v>39438</v>
          </cell>
          <cell r="CJ8">
            <v>33964</v>
          </cell>
          <cell r="CK8">
            <v>745505</v>
          </cell>
          <cell r="CL8">
            <v>0</v>
          </cell>
          <cell r="CM8">
            <v>0</v>
          </cell>
          <cell r="CN8">
            <v>43824981.450000003</v>
          </cell>
          <cell r="CO8">
            <v>2351749</v>
          </cell>
          <cell r="CP8">
            <v>2220657</v>
          </cell>
          <cell r="CQ8">
            <v>0</v>
          </cell>
          <cell r="CR8">
            <v>131092</v>
          </cell>
          <cell r="CS8">
            <v>258885.11</v>
          </cell>
          <cell r="CT8">
            <v>1957384.23</v>
          </cell>
          <cell r="CU8">
            <v>0</v>
          </cell>
          <cell r="CV8">
            <v>31868</v>
          </cell>
          <cell r="CW8">
            <v>10287.39</v>
          </cell>
          <cell r="CX8">
            <v>0</v>
          </cell>
          <cell r="CY8">
            <v>448000</v>
          </cell>
          <cell r="CZ8">
            <v>656967</v>
          </cell>
          <cell r="DA8">
            <v>81595</v>
          </cell>
        </row>
        <row r="9">
          <cell r="A9" t="str">
            <v>Customers</v>
          </cell>
          <cell r="B9" t="str">
            <v>YN</v>
          </cell>
          <cell r="C9">
            <v>2004</v>
          </cell>
          <cell r="D9">
            <v>1745</v>
          </cell>
          <cell r="E9">
            <v>63973</v>
          </cell>
          <cell r="F9">
            <v>34984</v>
          </cell>
          <cell r="G9">
            <v>8878</v>
          </cell>
          <cell r="H9">
            <v>35483</v>
          </cell>
          <cell r="I9">
            <v>58256</v>
          </cell>
          <cell r="J9">
            <v>46459</v>
          </cell>
          <cell r="K9">
            <v>6002</v>
          </cell>
          <cell r="L9">
            <v>1348</v>
          </cell>
          <cell r="M9">
            <v>31872</v>
          </cell>
          <cell r="N9">
            <v>1605</v>
          </cell>
          <cell r="O9">
            <v>13459</v>
          </cell>
          <cell r="P9">
            <v>1707</v>
          </cell>
          <cell r="Q9">
            <v>572</v>
          </cell>
          <cell r="R9">
            <v>3724</v>
          </cell>
          <cell r="S9">
            <v>10524</v>
          </cell>
          <cell r="T9">
            <v>176871</v>
          </cell>
          <cell r="U9">
            <v>83426</v>
          </cell>
          <cell r="V9">
            <v>13649</v>
          </cell>
          <cell r="W9">
            <v>3298</v>
          </cell>
          <cell r="X9">
            <v>27067</v>
          </cell>
          <cell r="Y9">
            <v>18684</v>
          </cell>
          <cell r="Z9">
            <v>15711</v>
          </cell>
          <cell r="AA9">
            <v>4057</v>
          </cell>
          <cell r="AB9">
            <v>680</v>
          </cell>
          <cell r="AC9">
            <v>11457</v>
          </cell>
          <cell r="AD9">
            <v>46296</v>
          </cell>
          <cell r="AE9">
            <v>43253</v>
          </cell>
          <cell r="AF9">
            <v>3043</v>
          </cell>
          <cell r="AG9">
            <v>9356</v>
          </cell>
          <cell r="AH9">
            <v>44556</v>
          </cell>
          <cell r="AI9">
            <v>42997</v>
          </cell>
          <cell r="AJ9">
            <v>1559</v>
          </cell>
          <cell r="AK9">
            <v>20312</v>
          </cell>
          <cell r="AL9">
            <v>18719</v>
          </cell>
          <cell r="AM9">
            <v>2797</v>
          </cell>
          <cell r="AN9">
            <v>229474</v>
          </cell>
          <cell r="AO9">
            <v>177495</v>
          </cell>
          <cell r="AP9">
            <v>51979</v>
          </cell>
          <cell r="AQ9">
            <v>1133</v>
          </cell>
          <cell r="AR9">
            <v>5227</v>
          </cell>
          <cell r="AS9">
            <v>110437</v>
          </cell>
          <cell r="AT9">
            <v>1140552</v>
          </cell>
          <cell r="AU9">
            <v>1139602</v>
          </cell>
          <cell r="AV9">
            <v>950</v>
          </cell>
          <cell r="AW9">
            <v>274025</v>
          </cell>
          <cell r="AX9">
            <v>13632</v>
          </cell>
          <cell r="AY9">
            <v>5834</v>
          </cell>
          <cell r="AZ9">
            <v>26477</v>
          </cell>
          <cell r="BA9">
            <v>77283</v>
          </cell>
          <cell r="BB9">
            <v>8634</v>
          </cell>
          <cell r="BC9">
            <v>8936</v>
          </cell>
          <cell r="BD9">
            <v>136487</v>
          </cell>
          <cell r="BE9">
            <v>6764</v>
          </cell>
          <cell r="BF9">
            <v>6423</v>
          </cell>
          <cell r="BG9">
            <v>17199</v>
          </cell>
          <cell r="BH9">
            <v>189</v>
          </cell>
          <cell r="BI9">
            <v>29594</v>
          </cell>
          <cell r="BJ9">
            <v>25657</v>
          </cell>
          <cell r="BK9">
            <v>3937</v>
          </cell>
          <cell r="BL9">
            <v>49729</v>
          </cell>
          <cell r="BM9">
            <v>35378</v>
          </cell>
          <cell r="BN9">
            <v>14351</v>
          </cell>
          <cell r="BO9">
            <v>7257</v>
          </cell>
          <cell r="BP9">
            <v>17967</v>
          </cell>
          <cell r="BQ9">
            <v>23514</v>
          </cell>
          <cell r="BR9">
            <v>6232</v>
          </cell>
          <cell r="BS9">
            <v>53230</v>
          </cell>
          <cell r="BT9">
            <v>9844</v>
          </cell>
          <cell r="BU9">
            <v>12248</v>
          </cell>
          <cell r="BV9">
            <v>48675</v>
          </cell>
          <cell r="BW9">
            <v>10108</v>
          </cell>
          <cell r="BX9">
            <v>3230</v>
          </cell>
          <cell r="BY9">
            <v>33438</v>
          </cell>
          <cell r="BZ9">
            <v>682</v>
          </cell>
          <cell r="CA9">
            <v>31378</v>
          </cell>
          <cell r="CB9">
            <v>1378</v>
          </cell>
          <cell r="CC9">
            <v>9333</v>
          </cell>
          <cell r="CD9">
            <v>212981</v>
          </cell>
          <cell r="CE9">
            <v>197141</v>
          </cell>
          <cell r="CF9">
            <v>15840</v>
          </cell>
          <cell r="CG9">
            <v>32365</v>
          </cell>
          <cell r="CH9">
            <v>4050</v>
          </cell>
          <cell r="CI9">
            <v>5749</v>
          </cell>
          <cell r="CJ9">
            <v>2749</v>
          </cell>
          <cell r="CK9">
            <v>14931</v>
          </cell>
          <cell r="CL9">
            <v>49323</v>
          </cell>
          <cell r="CM9">
            <v>6263</v>
          </cell>
          <cell r="CN9">
            <v>673172</v>
          </cell>
          <cell r="CO9">
            <v>101867</v>
          </cell>
          <cell r="CP9">
            <v>93634</v>
          </cell>
          <cell r="CQ9">
            <v>2340</v>
          </cell>
          <cell r="CR9">
            <v>5893</v>
          </cell>
          <cell r="CS9">
            <v>10108</v>
          </cell>
          <cell r="CT9">
            <v>46881</v>
          </cell>
          <cell r="CU9">
            <v>21239</v>
          </cell>
          <cell r="CV9">
            <v>3349</v>
          </cell>
          <cell r="CW9">
            <v>3767</v>
          </cell>
          <cell r="CX9">
            <v>1953</v>
          </cell>
          <cell r="CY9">
            <v>20528</v>
          </cell>
          <cell r="CZ9">
            <v>34936</v>
          </cell>
          <cell r="DA9">
            <v>13999</v>
          </cell>
        </row>
        <row r="10">
          <cell r="A10" t="str">
            <v>Customers - Residential</v>
          </cell>
          <cell r="B10" t="str">
            <v>YNR</v>
          </cell>
          <cell r="C10">
            <v>2004</v>
          </cell>
          <cell r="D10">
            <v>1475</v>
          </cell>
          <cell r="E10">
            <v>57473</v>
          </cell>
          <cell r="F10">
            <v>30648</v>
          </cell>
          <cell r="G10">
            <v>7471</v>
          </cell>
          <cell r="H10">
            <v>32108</v>
          </cell>
          <cell r="I10">
            <v>52787</v>
          </cell>
          <cell r="J10">
            <v>41372</v>
          </cell>
          <cell r="K10">
            <v>5319</v>
          </cell>
          <cell r="L10">
            <v>1166</v>
          </cell>
          <cell r="M10">
            <v>28200</v>
          </cell>
          <cell r="N10">
            <v>1354</v>
          </cell>
          <cell r="O10">
            <v>11800</v>
          </cell>
          <cell r="P10">
            <v>1522</v>
          </cell>
          <cell r="Q10">
            <v>486</v>
          </cell>
          <cell r="R10">
            <v>3261</v>
          </cell>
          <cell r="S10">
            <v>9488</v>
          </cell>
          <cell r="T10">
            <v>156410</v>
          </cell>
          <cell r="U10">
            <v>75107</v>
          </cell>
          <cell r="V10">
            <v>12075</v>
          </cell>
          <cell r="W10">
            <v>2843</v>
          </cell>
          <cell r="X10">
            <v>24909</v>
          </cell>
          <cell r="Y10">
            <v>16463</v>
          </cell>
          <cell r="Z10">
            <v>14280</v>
          </cell>
          <cell r="AA10">
            <v>3583</v>
          </cell>
          <cell r="AB10">
            <v>591</v>
          </cell>
          <cell r="AC10">
            <v>10453</v>
          </cell>
          <cell r="AD10">
            <v>42244</v>
          </cell>
          <cell r="AE10">
            <v>39492</v>
          </cell>
          <cell r="AF10">
            <v>2752</v>
          </cell>
          <cell r="AG10">
            <v>8535</v>
          </cell>
          <cell r="AH10">
            <v>40556</v>
          </cell>
          <cell r="AI10">
            <v>39145</v>
          </cell>
          <cell r="AJ10">
            <v>1411</v>
          </cell>
          <cell r="AK10">
            <v>17776</v>
          </cell>
          <cell r="AL10">
            <v>17004</v>
          </cell>
          <cell r="AM10">
            <v>2338</v>
          </cell>
          <cell r="AN10">
            <v>207188</v>
          </cell>
          <cell r="AO10">
            <v>160464</v>
          </cell>
          <cell r="AP10">
            <v>46724</v>
          </cell>
          <cell r="AQ10">
            <v>969</v>
          </cell>
          <cell r="AR10">
            <v>4580</v>
          </cell>
          <cell r="AS10">
            <v>102070</v>
          </cell>
          <cell r="AT10">
            <v>1032596</v>
          </cell>
          <cell r="AU10">
            <v>1031758</v>
          </cell>
          <cell r="AV10">
            <v>838</v>
          </cell>
          <cell r="AW10">
            <v>247790</v>
          </cell>
          <cell r="AX10">
            <v>12670</v>
          </cell>
          <cell r="AY10">
            <v>4980</v>
          </cell>
          <cell r="AZ10">
            <v>22712</v>
          </cell>
          <cell r="BA10">
            <v>69405</v>
          </cell>
          <cell r="BB10">
            <v>7494</v>
          </cell>
          <cell r="BC10">
            <v>7300</v>
          </cell>
          <cell r="BD10">
            <v>123095</v>
          </cell>
          <cell r="BE10">
            <v>5985</v>
          </cell>
          <cell r="BF10">
            <v>5568</v>
          </cell>
          <cell r="BG10">
            <v>15060</v>
          </cell>
          <cell r="BH10">
            <v>160</v>
          </cell>
          <cell r="BI10">
            <v>26339</v>
          </cell>
          <cell r="BJ10">
            <v>22691</v>
          </cell>
          <cell r="BK10">
            <v>3648</v>
          </cell>
          <cell r="BL10">
            <v>43868</v>
          </cell>
          <cell r="BM10">
            <v>31250</v>
          </cell>
          <cell r="BN10">
            <v>12618</v>
          </cell>
          <cell r="BO10">
            <v>5902</v>
          </cell>
          <cell r="BP10">
            <v>15686</v>
          </cell>
          <cell r="BQ10">
            <v>20364</v>
          </cell>
          <cell r="BR10">
            <v>5268</v>
          </cell>
          <cell r="BS10">
            <v>47496</v>
          </cell>
          <cell r="BT10">
            <v>8801</v>
          </cell>
          <cell r="BU10">
            <v>10743</v>
          </cell>
          <cell r="BV10">
            <v>44280</v>
          </cell>
          <cell r="BW10">
            <v>8501</v>
          </cell>
          <cell r="BX10">
            <v>2594</v>
          </cell>
          <cell r="BY10">
            <v>29240</v>
          </cell>
          <cell r="BZ10">
            <v>580</v>
          </cell>
          <cell r="CA10">
            <v>27496</v>
          </cell>
          <cell r="CB10">
            <v>1164</v>
          </cell>
          <cell r="CC10">
            <v>8128</v>
          </cell>
          <cell r="CD10">
            <v>187044</v>
          </cell>
          <cell r="CE10">
            <v>172636</v>
          </cell>
          <cell r="CF10">
            <v>14408</v>
          </cell>
          <cell r="CG10">
            <v>28569</v>
          </cell>
          <cell r="CH10">
            <v>3472</v>
          </cell>
          <cell r="CI10">
            <v>4869</v>
          </cell>
          <cell r="CJ10">
            <v>2287</v>
          </cell>
          <cell r="CK10">
            <v>13182</v>
          </cell>
          <cell r="CL10">
            <v>44167</v>
          </cell>
          <cell r="CM10">
            <v>5523</v>
          </cell>
          <cell r="CN10">
            <v>594976</v>
          </cell>
          <cell r="CO10">
            <v>91825</v>
          </cell>
          <cell r="CP10">
            <v>84662</v>
          </cell>
          <cell r="CQ10">
            <v>1974</v>
          </cell>
          <cell r="CR10">
            <v>5189</v>
          </cell>
          <cell r="CS10">
            <v>9329</v>
          </cell>
          <cell r="CT10">
            <v>41215</v>
          </cell>
          <cell r="CU10">
            <v>19142</v>
          </cell>
          <cell r="CV10">
            <v>2841</v>
          </cell>
          <cell r="CW10">
            <v>3214</v>
          </cell>
          <cell r="CX10">
            <v>1705</v>
          </cell>
          <cell r="CY10">
            <v>17877</v>
          </cell>
          <cell r="CZ10">
            <v>32611</v>
          </cell>
          <cell r="DA10">
            <v>12633</v>
          </cell>
        </row>
        <row r="11">
          <cell r="A11" t="str">
            <v>Customers - Other</v>
          </cell>
          <cell r="B11" t="str">
            <v>YNO</v>
          </cell>
          <cell r="C11">
            <v>2004</v>
          </cell>
          <cell r="D11">
            <v>270</v>
          </cell>
          <cell r="E11">
            <v>6500</v>
          </cell>
          <cell r="F11">
            <v>4336</v>
          </cell>
          <cell r="G11">
            <v>1407</v>
          </cell>
          <cell r="H11">
            <v>3375</v>
          </cell>
          <cell r="I11">
            <v>5469</v>
          </cell>
          <cell r="J11">
            <v>5087</v>
          </cell>
          <cell r="K11">
            <v>683</v>
          </cell>
          <cell r="L11">
            <v>182</v>
          </cell>
          <cell r="M11">
            <v>3672</v>
          </cell>
          <cell r="N11">
            <v>251</v>
          </cell>
          <cell r="O11">
            <v>1659</v>
          </cell>
          <cell r="P11">
            <v>185</v>
          </cell>
          <cell r="Q11">
            <v>86</v>
          </cell>
          <cell r="R11">
            <v>463</v>
          </cell>
          <cell r="S11">
            <v>1036</v>
          </cell>
          <cell r="T11">
            <v>20461</v>
          </cell>
          <cell r="U11">
            <v>8319</v>
          </cell>
          <cell r="V11">
            <v>1574</v>
          </cell>
          <cell r="W11">
            <v>455</v>
          </cell>
          <cell r="X11">
            <v>2158</v>
          </cell>
          <cell r="Y11">
            <v>2221</v>
          </cell>
          <cell r="Z11">
            <v>1431</v>
          </cell>
          <cell r="AA11">
            <v>474</v>
          </cell>
          <cell r="AB11">
            <v>89</v>
          </cell>
          <cell r="AC11">
            <v>1004</v>
          </cell>
          <cell r="AD11">
            <v>4052</v>
          </cell>
          <cell r="AE11">
            <v>3761</v>
          </cell>
          <cell r="AF11">
            <v>291</v>
          </cell>
          <cell r="AG11">
            <v>821</v>
          </cell>
          <cell r="AH11">
            <v>4000</v>
          </cell>
          <cell r="AI11">
            <v>3852</v>
          </cell>
          <cell r="AJ11">
            <v>148</v>
          </cell>
          <cell r="AK11">
            <v>2536</v>
          </cell>
          <cell r="AL11">
            <v>1715</v>
          </cell>
          <cell r="AM11">
            <v>459</v>
          </cell>
          <cell r="AN11">
            <v>22286</v>
          </cell>
          <cell r="AO11">
            <v>17031</v>
          </cell>
          <cell r="AP11">
            <v>5255</v>
          </cell>
          <cell r="AQ11">
            <v>164</v>
          </cell>
          <cell r="AR11">
            <v>647</v>
          </cell>
          <cell r="AS11">
            <v>8367</v>
          </cell>
          <cell r="AT11">
            <v>107956</v>
          </cell>
          <cell r="AU11">
            <v>107844</v>
          </cell>
          <cell r="AV11">
            <v>112</v>
          </cell>
          <cell r="AW11">
            <v>26235</v>
          </cell>
          <cell r="AX11">
            <v>962</v>
          </cell>
          <cell r="AY11">
            <v>854</v>
          </cell>
          <cell r="AZ11">
            <v>3765</v>
          </cell>
          <cell r="BA11">
            <v>7878</v>
          </cell>
          <cell r="BB11">
            <v>1140</v>
          </cell>
          <cell r="BC11">
            <v>1636</v>
          </cell>
          <cell r="BD11">
            <v>13392</v>
          </cell>
          <cell r="BE11">
            <v>779</v>
          </cell>
          <cell r="BF11">
            <v>855</v>
          </cell>
          <cell r="BG11">
            <v>2139</v>
          </cell>
          <cell r="BH11">
            <v>29</v>
          </cell>
          <cell r="BI11">
            <v>3255</v>
          </cell>
          <cell r="BJ11">
            <v>2966</v>
          </cell>
          <cell r="BK11">
            <v>289</v>
          </cell>
          <cell r="BL11">
            <v>5861</v>
          </cell>
          <cell r="BM11">
            <v>4128</v>
          </cell>
          <cell r="BN11">
            <v>1733</v>
          </cell>
          <cell r="BO11">
            <v>1355</v>
          </cell>
          <cell r="BP11">
            <v>2281</v>
          </cell>
          <cell r="BQ11">
            <v>3150</v>
          </cell>
          <cell r="BR11">
            <v>964</v>
          </cell>
          <cell r="BS11">
            <v>5734</v>
          </cell>
          <cell r="BT11">
            <v>1043</v>
          </cell>
          <cell r="BU11">
            <v>1505</v>
          </cell>
          <cell r="BV11">
            <v>4395</v>
          </cell>
          <cell r="BW11">
            <v>1607</v>
          </cell>
          <cell r="BX11">
            <v>636</v>
          </cell>
          <cell r="BY11">
            <v>4198</v>
          </cell>
          <cell r="BZ11">
            <v>102</v>
          </cell>
          <cell r="CA11">
            <v>3882</v>
          </cell>
          <cell r="CB11">
            <v>214</v>
          </cell>
          <cell r="CC11">
            <v>1205</v>
          </cell>
          <cell r="CD11">
            <v>25937</v>
          </cell>
          <cell r="CE11">
            <v>24505</v>
          </cell>
          <cell r="CF11">
            <v>1432</v>
          </cell>
          <cell r="CG11">
            <v>3796</v>
          </cell>
          <cell r="CH11">
            <v>578</v>
          </cell>
          <cell r="CI11">
            <v>880</v>
          </cell>
          <cell r="CJ11">
            <v>462</v>
          </cell>
          <cell r="CK11">
            <v>1749</v>
          </cell>
          <cell r="CL11">
            <v>5156</v>
          </cell>
          <cell r="CM11">
            <v>740</v>
          </cell>
          <cell r="CN11">
            <v>78196</v>
          </cell>
          <cell r="CO11">
            <v>10042</v>
          </cell>
          <cell r="CP11">
            <v>8972</v>
          </cell>
          <cell r="CQ11">
            <v>366</v>
          </cell>
          <cell r="CR11">
            <v>704</v>
          </cell>
          <cell r="CS11">
            <v>779</v>
          </cell>
          <cell r="CT11">
            <v>5666</v>
          </cell>
          <cell r="CU11">
            <v>2097</v>
          </cell>
          <cell r="CV11">
            <v>508</v>
          </cell>
          <cell r="CW11">
            <v>553</v>
          </cell>
          <cell r="CX11">
            <v>248</v>
          </cell>
          <cell r="CY11">
            <v>2651</v>
          </cell>
          <cell r="CZ11">
            <v>2325</v>
          </cell>
          <cell r="DA11">
            <v>1366</v>
          </cell>
        </row>
        <row r="12">
          <cell r="A12" t="str">
            <v>kWh</v>
          </cell>
          <cell r="B12" t="str">
            <v>YV</v>
          </cell>
          <cell r="C12">
            <v>2004</v>
          </cell>
          <cell r="D12">
            <v>37609928</v>
          </cell>
          <cell r="E12">
            <v>1425084299</v>
          </cell>
          <cell r="F12">
            <v>1149895557</v>
          </cell>
          <cell r="G12">
            <v>211134602</v>
          </cell>
          <cell r="H12">
            <v>954965318</v>
          </cell>
          <cell r="I12">
            <v>1638103136</v>
          </cell>
          <cell r="J12">
            <v>1566869038</v>
          </cell>
          <cell r="K12">
            <v>68574646</v>
          </cell>
          <cell r="L12">
            <v>30980687</v>
          </cell>
          <cell r="M12">
            <v>904153126</v>
          </cell>
          <cell r="N12">
            <v>31297146</v>
          </cell>
          <cell r="O12">
            <v>367636690</v>
          </cell>
          <cell r="P12">
            <v>29167075</v>
          </cell>
          <cell r="Q12">
            <v>8528751</v>
          </cell>
          <cell r="R12">
            <v>85370758</v>
          </cell>
          <cell r="S12">
            <v>199496976</v>
          </cell>
          <cell r="T12">
            <v>7960522460</v>
          </cell>
          <cell r="U12">
            <v>892419399</v>
          </cell>
          <cell r="V12">
            <v>408997605</v>
          </cell>
          <cell r="W12">
            <v>64638104</v>
          </cell>
          <cell r="X12">
            <v>572734438</v>
          </cell>
          <cell r="Y12">
            <v>632340069</v>
          </cell>
          <cell r="Z12">
            <v>286529693</v>
          </cell>
          <cell r="AA12">
            <v>81252177</v>
          </cell>
          <cell r="AB12">
            <v>9789935.3000000007</v>
          </cell>
          <cell r="AC12">
            <v>191906813.59999999</v>
          </cell>
          <cell r="AD12">
            <v>987376976.5</v>
          </cell>
          <cell r="AE12">
            <v>924891203</v>
          </cell>
          <cell r="AF12">
            <v>62485773.5</v>
          </cell>
          <cell r="AG12">
            <v>98472447</v>
          </cell>
          <cell r="AH12">
            <v>1570349840</v>
          </cell>
          <cell r="AI12">
            <v>1554235644</v>
          </cell>
          <cell r="AJ12">
            <v>16114196</v>
          </cell>
          <cell r="AK12">
            <v>362422451</v>
          </cell>
          <cell r="AL12">
            <v>454683669</v>
          </cell>
          <cell r="AM12">
            <v>123183299</v>
          </cell>
          <cell r="AN12">
            <v>3048589478</v>
          </cell>
          <cell r="AO12">
            <v>1720550376</v>
          </cell>
          <cell r="AP12">
            <v>1328039102</v>
          </cell>
          <cell r="AQ12">
            <v>27530421.5</v>
          </cell>
          <cell r="AR12">
            <v>208673361</v>
          </cell>
          <cell r="AS12">
            <v>3599518806</v>
          </cell>
          <cell r="AT12">
            <v>22598933403.400002</v>
          </cell>
          <cell r="AU12">
            <v>22579430000</v>
          </cell>
          <cell r="AV12">
            <v>19503403.399999999</v>
          </cell>
          <cell r="AW12">
            <v>7514934346</v>
          </cell>
          <cell r="AX12">
            <v>185208558</v>
          </cell>
          <cell r="AY12">
            <v>110808802</v>
          </cell>
          <cell r="AZ12">
            <v>718541335</v>
          </cell>
          <cell r="BA12">
            <v>1949677336</v>
          </cell>
          <cell r="BB12">
            <v>276130945</v>
          </cell>
          <cell r="BC12">
            <v>127469051.5</v>
          </cell>
          <cell r="BD12">
            <v>3383633950</v>
          </cell>
          <cell r="BE12">
            <v>170225789</v>
          </cell>
          <cell r="BF12">
            <v>229646100.59999999</v>
          </cell>
          <cell r="BG12">
            <v>590836869</v>
          </cell>
          <cell r="BH12">
            <v>3984290</v>
          </cell>
          <cell r="BI12">
            <v>691078575</v>
          </cell>
          <cell r="BJ12">
            <v>657766177</v>
          </cell>
          <cell r="BK12">
            <v>33312398</v>
          </cell>
          <cell r="BL12">
            <v>1200380634</v>
          </cell>
          <cell r="BM12">
            <v>861232370</v>
          </cell>
          <cell r="BN12">
            <v>339148264</v>
          </cell>
          <cell r="BO12">
            <v>168165203</v>
          </cell>
          <cell r="BP12">
            <v>372962643</v>
          </cell>
          <cell r="BQ12">
            <v>590330329</v>
          </cell>
          <cell r="BR12">
            <v>124118006</v>
          </cell>
          <cell r="BS12">
            <v>1728259010</v>
          </cell>
          <cell r="BT12">
            <v>230980179</v>
          </cell>
          <cell r="BU12">
            <v>313903113</v>
          </cell>
          <cell r="BV12">
            <v>1175439752</v>
          </cell>
          <cell r="BW12">
            <v>204676301</v>
          </cell>
          <cell r="BX12">
            <v>89026826.799999997</v>
          </cell>
          <cell r="BY12">
            <v>790191455</v>
          </cell>
          <cell r="BZ12">
            <v>12535309</v>
          </cell>
          <cell r="CA12">
            <v>745571055</v>
          </cell>
          <cell r="CB12">
            <v>32085091</v>
          </cell>
          <cell r="CC12">
            <v>180920537</v>
          </cell>
          <cell r="CD12">
            <v>6430695270</v>
          </cell>
          <cell r="CE12">
            <v>6019556899</v>
          </cell>
          <cell r="CF12">
            <v>411138371</v>
          </cell>
          <cell r="CG12">
            <v>723592739</v>
          </cell>
          <cell r="CH12">
            <v>92881382</v>
          </cell>
          <cell r="CI12">
            <v>128527347</v>
          </cell>
          <cell r="CJ12">
            <v>89665584</v>
          </cell>
          <cell r="CK12">
            <v>356758413</v>
          </cell>
          <cell r="CL12">
            <v>1033807068</v>
          </cell>
          <cell r="CM12">
            <v>237490418</v>
          </cell>
          <cell r="CN12">
            <v>25508050686</v>
          </cell>
          <cell r="CO12">
            <v>2400607118</v>
          </cell>
          <cell r="CP12">
            <v>2277933600</v>
          </cell>
          <cell r="CQ12">
            <v>30882234</v>
          </cell>
          <cell r="CR12">
            <v>91791284</v>
          </cell>
          <cell r="CS12">
            <v>99506595.700000003</v>
          </cell>
          <cell r="CT12">
            <v>1243491867</v>
          </cell>
          <cell r="CU12">
            <v>489398304</v>
          </cell>
          <cell r="CV12">
            <v>94234305</v>
          </cell>
          <cell r="CW12">
            <v>150385613.59999999</v>
          </cell>
          <cell r="CX12">
            <v>467597700</v>
          </cell>
          <cell r="CY12">
            <v>336593577</v>
          </cell>
          <cell r="CZ12">
            <v>386398550</v>
          </cell>
          <cell r="DA12">
            <v>415036402</v>
          </cell>
        </row>
        <row r="13">
          <cell r="A13" t="str">
            <v>kWh - Residential</v>
          </cell>
          <cell r="B13" t="str">
            <v>YVR</v>
          </cell>
          <cell r="C13">
            <v>2004</v>
          </cell>
          <cell r="D13">
            <v>11274364</v>
          </cell>
          <cell r="E13">
            <v>497770378</v>
          </cell>
          <cell r="F13">
            <v>260765322</v>
          </cell>
          <cell r="G13">
            <v>82022862</v>
          </cell>
          <cell r="H13">
            <v>272046217</v>
          </cell>
          <cell r="I13">
            <v>503259913</v>
          </cell>
          <cell r="J13">
            <v>392317140</v>
          </cell>
          <cell r="K13">
            <v>46307549</v>
          </cell>
          <cell r="L13">
            <v>15978327</v>
          </cell>
          <cell r="M13">
            <v>246887434</v>
          </cell>
          <cell r="N13">
            <v>12250721</v>
          </cell>
          <cell r="O13">
            <v>120918643</v>
          </cell>
          <cell r="P13">
            <v>18802591</v>
          </cell>
          <cell r="Q13">
            <v>5473426</v>
          </cell>
          <cell r="R13">
            <v>30135637</v>
          </cell>
          <cell r="S13">
            <v>96637316</v>
          </cell>
          <cell r="T13">
            <v>1542805550</v>
          </cell>
          <cell r="U13">
            <v>646622517</v>
          </cell>
          <cell r="V13">
            <v>129873121</v>
          </cell>
          <cell r="W13">
            <v>37133425</v>
          </cell>
          <cell r="X13">
            <v>274259546</v>
          </cell>
          <cell r="Y13">
            <v>140968240</v>
          </cell>
          <cell r="Z13">
            <v>123000551</v>
          </cell>
          <cell r="AA13">
            <v>38013472</v>
          </cell>
          <cell r="AB13">
            <v>6129549</v>
          </cell>
          <cell r="AC13">
            <v>96302388.5</v>
          </cell>
          <cell r="AD13">
            <v>418913298</v>
          </cell>
          <cell r="AE13">
            <v>388929025</v>
          </cell>
          <cell r="AF13">
            <v>29984273</v>
          </cell>
          <cell r="AG13">
            <v>80278912</v>
          </cell>
          <cell r="AH13">
            <v>332021153</v>
          </cell>
          <cell r="AI13">
            <v>319467005</v>
          </cell>
          <cell r="AJ13">
            <v>12554148</v>
          </cell>
          <cell r="AK13">
            <v>172248238</v>
          </cell>
          <cell r="AL13">
            <v>188074010</v>
          </cell>
          <cell r="AM13">
            <v>28812287</v>
          </cell>
          <cell r="AN13">
            <v>1626211541</v>
          </cell>
          <cell r="AO13">
            <v>1240883023</v>
          </cell>
          <cell r="AP13">
            <v>385328518</v>
          </cell>
          <cell r="AQ13">
            <v>15988104</v>
          </cell>
          <cell r="AR13">
            <v>52414724</v>
          </cell>
          <cell r="AS13">
            <v>966448805</v>
          </cell>
          <cell r="AT13">
            <v>12577018339</v>
          </cell>
          <cell r="AU13">
            <v>12566080000</v>
          </cell>
          <cell r="AV13">
            <v>10938339</v>
          </cell>
          <cell r="AW13">
            <v>2266750286</v>
          </cell>
          <cell r="AX13">
            <v>156824661</v>
          </cell>
          <cell r="AY13">
            <v>42066428</v>
          </cell>
          <cell r="AZ13">
            <v>198312550</v>
          </cell>
          <cell r="BA13">
            <v>592055944</v>
          </cell>
          <cell r="BB13">
            <v>69554949</v>
          </cell>
          <cell r="BC13">
            <v>80665379</v>
          </cell>
          <cell r="BD13">
            <v>1112109365</v>
          </cell>
          <cell r="BE13">
            <v>59150220</v>
          </cell>
          <cell r="BF13">
            <v>46191627.299999997</v>
          </cell>
          <cell r="BG13">
            <v>170357087</v>
          </cell>
          <cell r="BH13">
            <v>1522966</v>
          </cell>
          <cell r="BI13">
            <v>253091369</v>
          </cell>
          <cell r="BJ13">
            <v>220448036</v>
          </cell>
          <cell r="BK13">
            <v>32643333</v>
          </cell>
          <cell r="BL13">
            <v>413729440</v>
          </cell>
          <cell r="BM13">
            <v>262252207</v>
          </cell>
          <cell r="BN13">
            <v>151477233</v>
          </cell>
          <cell r="BO13">
            <v>59183003</v>
          </cell>
          <cell r="BP13">
            <v>144181978</v>
          </cell>
          <cell r="BQ13">
            <v>213743834</v>
          </cell>
          <cell r="BR13">
            <v>39972935</v>
          </cell>
          <cell r="BS13">
            <v>526841876</v>
          </cell>
          <cell r="BT13">
            <v>76313591</v>
          </cell>
          <cell r="BU13">
            <v>107069794</v>
          </cell>
          <cell r="BV13">
            <v>474309661</v>
          </cell>
          <cell r="BW13">
            <v>80414342</v>
          </cell>
          <cell r="BX13">
            <v>37450474.5</v>
          </cell>
          <cell r="BY13">
            <v>285057855</v>
          </cell>
          <cell r="BZ13">
            <v>6864409</v>
          </cell>
          <cell r="CA13">
            <v>266212890</v>
          </cell>
          <cell r="CB13">
            <v>11980556</v>
          </cell>
          <cell r="CC13">
            <v>61221620</v>
          </cell>
          <cell r="CD13">
            <v>1889604391</v>
          </cell>
          <cell r="CE13">
            <v>1743713761</v>
          </cell>
          <cell r="CF13">
            <v>145890630</v>
          </cell>
          <cell r="CG13">
            <v>352871458</v>
          </cell>
          <cell r="CH13">
            <v>31096168</v>
          </cell>
          <cell r="CI13">
            <v>47583355</v>
          </cell>
          <cell r="CJ13">
            <v>33256852</v>
          </cell>
          <cell r="CK13">
            <v>107351758</v>
          </cell>
          <cell r="CL13">
            <v>354174194</v>
          </cell>
          <cell r="CM13">
            <v>51089457</v>
          </cell>
          <cell r="CN13">
            <v>5428344270</v>
          </cell>
          <cell r="CO13">
            <v>899643945</v>
          </cell>
          <cell r="CP13">
            <v>831049290</v>
          </cell>
          <cell r="CQ13">
            <v>20831597</v>
          </cell>
          <cell r="CR13">
            <v>47763058</v>
          </cell>
          <cell r="CS13">
            <v>70392797.900000006</v>
          </cell>
          <cell r="CT13">
            <v>384340263</v>
          </cell>
          <cell r="CU13">
            <v>158515644</v>
          </cell>
          <cell r="CV13">
            <v>25762158.699999999</v>
          </cell>
          <cell r="CW13">
            <v>27244635</v>
          </cell>
          <cell r="CX13">
            <v>16477650</v>
          </cell>
          <cell r="CY13">
            <v>264678630</v>
          </cell>
          <cell r="CZ13">
            <v>311725936</v>
          </cell>
          <cell r="DA13">
            <v>106267960</v>
          </cell>
        </row>
        <row r="14">
          <cell r="A14" t="str">
            <v>kWh - Other</v>
          </cell>
          <cell r="B14" t="str">
            <v>YVO</v>
          </cell>
          <cell r="C14">
            <v>2004</v>
          </cell>
          <cell r="D14">
            <v>26335564</v>
          </cell>
          <cell r="E14">
            <v>927313921</v>
          </cell>
          <cell r="F14">
            <v>889130235</v>
          </cell>
          <cell r="G14">
            <v>129111740</v>
          </cell>
          <cell r="H14">
            <v>682919101</v>
          </cell>
          <cell r="I14">
            <v>1134843223</v>
          </cell>
          <cell r="J14">
            <v>1174551898</v>
          </cell>
          <cell r="K14">
            <v>22267097</v>
          </cell>
          <cell r="L14">
            <v>15002360</v>
          </cell>
          <cell r="M14">
            <v>657265692</v>
          </cell>
          <cell r="N14">
            <v>19046425</v>
          </cell>
          <cell r="O14">
            <v>246718047</v>
          </cell>
          <cell r="P14">
            <v>10364484</v>
          </cell>
          <cell r="Q14">
            <v>3055325</v>
          </cell>
          <cell r="R14">
            <v>55235121</v>
          </cell>
          <cell r="S14">
            <v>102859660</v>
          </cell>
          <cell r="T14">
            <v>6417716910</v>
          </cell>
          <cell r="U14">
            <v>245796882</v>
          </cell>
          <cell r="V14">
            <v>279124484</v>
          </cell>
          <cell r="W14">
            <v>27504679</v>
          </cell>
          <cell r="X14">
            <v>298474892</v>
          </cell>
          <cell r="Y14">
            <v>491371829</v>
          </cell>
          <cell r="Z14">
            <v>163529142</v>
          </cell>
          <cell r="AA14">
            <v>43238705</v>
          </cell>
          <cell r="AB14">
            <v>3660386.3000000007</v>
          </cell>
          <cell r="AC14">
            <v>95604425.099999994</v>
          </cell>
          <cell r="AD14">
            <v>568463678.5</v>
          </cell>
          <cell r="AE14">
            <v>535962178</v>
          </cell>
          <cell r="AF14">
            <v>32501500.5</v>
          </cell>
          <cell r="AG14">
            <v>18193535</v>
          </cell>
          <cell r="AH14">
            <v>1238328687</v>
          </cell>
          <cell r="AI14">
            <v>1234768639</v>
          </cell>
          <cell r="AJ14">
            <v>3560048</v>
          </cell>
          <cell r="AK14">
            <v>190174213</v>
          </cell>
          <cell r="AL14">
            <v>266609659</v>
          </cell>
          <cell r="AM14">
            <v>94371012</v>
          </cell>
          <cell r="AN14">
            <v>1422377937</v>
          </cell>
          <cell r="AO14">
            <v>479667353</v>
          </cell>
          <cell r="AP14">
            <v>942710584</v>
          </cell>
          <cell r="AQ14">
            <v>11542317.5</v>
          </cell>
          <cell r="AR14">
            <v>156258637</v>
          </cell>
          <cell r="AS14">
            <v>2633070001</v>
          </cell>
          <cell r="AT14">
            <v>10021915064.400002</v>
          </cell>
          <cell r="AU14">
            <v>10013350000</v>
          </cell>
          <cell r="AV14">
            <v>8565064.3999999985</v>
          </cell>
          <cell r="AW14">
            <v>5248184060</v>
          </cell>
          <cell r="AX14">
            <v>28383897</v>
          </cell>
          <cell r="AY14">
            <v>68742374</v>
          </cell>
          <cell r="AZ14">
            <v>520228785</v>
          </cell>
          <cell r="BA14">
            <v>1357621392</v>
          </cell>
          <cell r="BB14">
            <v>206575996</v>
          </cell>
          <cell r="BC14">
            <v>46803672.5</v>
          </cell>
          <cell r="BD14">
            <v>2271524585</v>
          </cell>
          <cell r="BE14">
            <v>111075569</v>
          </cell>
          <cell r="BF14">
            <v>183454473.30000001</v>
          </cell>
          <cell r="BG14">
            <v>420479782</v>
          </cell>
          <cell r="BH14">
            <v>2461324</v>
          </cell>
          <cell r="BI14">
            <v>437987206</v>
          </cell>
          <cell r="BJ14">
            <v>437318141</v>
          </cell>
          <cell r="BK14">
            <v>669065</v>
          </cell>
          <cell r="BL14">
            <v>786651194</v>
          </cell>
          <cell r="BM14">
            <v>598980163</v>
          </cell>
          <cell r="BN14">
            <v>187671031</v>
          </cell>
          <cell r="BO14">
            <v>108982200</v>
          </cell>
          <cell r="BP14">
            <v>228780665</v>
          </cell>
          <cell r="BQ14">
            <v>376586495</v>
          </cell>
          <cell r="BR14">
            <v>84145071</v>
          </cell>
          <cell r="BS14">
            <v>1201417134</v>
          </cell>
          <cell r="BT14">
            <v>154666588</v>
          </cell>
          <cell r="BU14">
            <v>206833319</v>
          </cell>
          <cell r="BV14">
            <v>701130091</v>
          </cell>
          <cell r="BW14">
            <v>124261959</v>
          </cell>
          <cell r="BX14">
            <v>51576352.299999997</v>
          </cell>
          <cell r="BY14">
            <v>505133600</v>
          </cell>
          <cell r="BZ14">
            <v>5670900</v>
          </cell>
          <cell r="CA14">
            <v>479358165</v>
          </cell>
          <cell r="CB14">
            <v>20104535</v>
          </cell>
          <cell r="CC14">
            <v>119698917</v>
          </cell>
          <cell r="CD14">
            <v>4541090879</v>
          </cell>
          <cell r="CE14">
            <v>4275843138</v>
          </cell>
          <cell r="CF14">
            <v>265247741</v>
          </cell>
          <cell r="CG14">
            <v>370721281</v>
          </cell>
          <cell r="CH14">
            <v>61785214</v>
          </cell>
          <cell r="CI14">
            <v>80943992</v>
          </cell>
          <cell r="CJ14">
            <v>56408732</v>
          </cell>
          <cell r="CK14">
            <v>249406655</v>
          </cell>
          <cell r="CL14">
            <v>679632874</v>
          </cell>
          <cell r="CM14">
            <v>186400961</v>
          </cell>
          <cell r="CN14">
            <v>20079706416</v>
          </cell>
          <cell r="CO14">
            <v>1500963173</v>
          </cell>
          <cell r="CP14">
            <v>1446884310</v>
          </cell>
          <cell r="CQ14">
            <v>10050637</v>
          </cell>
          <cell r="CR14">
            <v>44028226</v>
          </cell>
          <cell r="CS14">
            <v>29113797.799999997</v>
          </cell>
          <cell r="CT14">
            <v>859151604</v>
          </cell>
          <cell r="CU14">
            <v>330882660</v>
          </cell>
          <cell r="CV14">
            <v>68472146.299999997</v>
          </cell>
          <cell r="CW14">
            <v>123140978.59999999</v>
          </cell>
          <cell r="CX14">
            <v>451120050</v>
          </cell>
          <cell r="CY14">
            <v>71914947</v>
          </cell>
          <cell r="CZ14">
            <v>74672614</v>
          </cell>
          <cell r="DA14">
            <v>308768442</v>
          </cell>
        </row>
        <row r="15">
          <cell r="A15" t="str">
            <v>kW</v>
          </cell>
          <cell r="B15" t="str">
            <v>YD</v>
          </cell>
          <cell r="C15">
            <v>2004</v>
          </cell>
          <cell r="D15">
            <v>45593.4</v>
          </cell>
          <cell r="E15">
            <v>1873486</v>
          </cell>
          <cell r="F15">
            <v>1501581</v>
          </cell>
          <cell r="G15">
            <v>493322</v>
          </cell>
          <cell r="H15">
            <v>1463693</v>
          </cell>
          <cell r="I15">
            <v>2459547.2000000002</v>
          </cell>
          <cell r="J15">
            <v>2491204</v>
          </cell>
          <cell r="K15">
            <v>212814.4</v>
          </cell>
          <cell r="L15">
            <v>24947.9</v>
          </cell>
          <cell r="M15">
            <v>1410271</v>
          </cell>
          <cell r="N15">
            <v>81902</v>
          </cell>
          <cell r="O15">
            <v>680283</v>
          </cell>
          <cell r="P15">
            <v>19699</v>
          </cell>
          <cell r="Q15">
            <v>17057</v>
          </cell>
          <cell r="R15">
            <v>47998</v>
          </cell>
          <cell r="S15">
            <v>0</v>
          </cell>
          <cell r="T15">
            <v>13005242</v>
          </cell>
          <cell r="U15">
            <v>4919783</v>
          </cell>
          <cell r="V15">
            <v>549315</v>
          </cell>
          <cell r="W15">
            <v>0</v>
          </cell>
          <cell r="X15">
            <v>533079.69999999995</v>
          </cell>
          <cell r="Y15">
            <v>1152800</v>
          </cell>
          <cell r="Z15">
            <v>339954</v>
          </cell>
          <cell r="AA15">
            <v>63397</v>
          </cell>
          <cell r="AB15">
            <v>7845</v>
          </cell>
          <cell r="AC15">
            <v>157922.4</v>
          </cell>
          <cell r="AD15">
            <v>957859.7</v>
          </cell>
          <cell r="AE15">
            <v>906024</v>
          </cell>
          <cell r="AF15">
            <v>51835.7</v>
          </cell>
          <cell r="AG15">
            <v>183044</v>
          </cell>
          <cell r="AH15">
            <v>2443494</v>
          </cell>
          <cell r="AI15">
            <v>2442155</v>
          </cell>
          <cell r="AJ15">
            <v>1339</v>
          </cell>
          <cell r="AK15">
            <v>389565</v>
          </cell>
          <cell r="AL15">
            <v>806758</v>
          </cell>
          <cell r="AM15">
            <v>176186</v>
          </cell>
          <cell r="AN15">
            <v>9834326</v>
          </cell>
          <cell r="AO15">
            <v>7950640</v>
          </cell>
          <cell r="AP15">
            <v>1883686</v>
          </cell>
          <cell r="AQ15">
            <v>13516</v>
          </cell>
          <cell r="AR15">
            <v>284112</v>
          </cell>
          <cell r="AS15">
            <v>5486766</v>
          </cell>
          <cell r="AT15">
            <v>23445617.199999999</v>
          </cell>
          <cell r="AU15">
            <v>23429600</v>
          </cell>
          <cell r="AV15">
            <v>16017.2</v>
          </cell>
          <cell r="AW15">
            <v>9824794</v>
          </cell>
          <cell r="AX15">
            <v>123264</v>
          </cell>
          <cell r="AY15">
            <v>142985</v>
          </cell>
          <cell r="AZ15">
            <v>1064164</v>
          </cell>
          <cell r="BA15">
            <v>2775977</v>
          </cell>
          <cell r="BB15">
            <v>437521</v>
          </cell>
          <cell r="BC15">
            <v>228040.6</v>
          </cell>
          <cell r="BD15">
            <v>4371558</v>
          </cell>
          <cell r="BE15">
            <v>303130</v>
          </cell>
          <cell r="BF15">
            <v>382327.5</v>
          </cell>
          <cell r="BG15">
            <v>841710</v>
          </cell>
          <cell r="BH15">
            <v>0</v>
          </cell>
          <cell r="BI15">
            <v>811556.3</v>
          </cell>
          <cell r="BJ15">
            <v>798285</v>
          </cell>
          <cell r="BK15">
            <v>13271.3</v>
          </cell>
          <cell r="BL15">
            <v>1680083</v>
          </cell>
          <cell r="BM15">
            <v>1245299</v>
          </cell>
          <cell r="BN15">
            <v>434784</v>
          </cell>
          <cell r="BO15">
            <v>199394</v>
          </cell>
          <cell r="BP15">
            <v>526388</v>
          </cell>
          <cell r="BQ15">
            <v>660698</v>
          </cell>
          <cell r="BR15">
            <v>0</v>
          </cell>
          <cell r="BS15">
            <v>2724011</v>
          </cell>
          <cell r="BT15">
            <v>298747</v>
          </cell>
          <cell r="BU15">
            <v>400120</v>
          </cell>
          <cell r="BV15">
            <v>1359377</v>
          </cell>
          <cell r="BW15">
            <v>199324</v>
          </cell>
          <cell r="BX15">
            <v>0</v>
          </cell>
          <cell r="BY15">
            <v>939354</v>
          </cell>
          <cell r="BZ15">
            <v>8242</v>
          </cell>
          <cell r="CA15">
            <v>895573</v>
          </cell>
          <cell r="CB15">
            <v>35539</v>
          </cell>
          <cell r="CC15">
            <v>342128</v>
          </cell>
          <cell r="CD15">
            <v>9849687</v>
          </cell>
          <cell r="CE15">
            <v>9287131</v>
          </cell>
          <cell r="CF15">
            <v>562556</v>
          </cell>
          <cell r="CG15">
            <v>704175</v>
          </cell>
          <cell r="CH15">
            <v>136614</v>
          </cell>
          <cell r="CI15">
            <v>146561.70000000001</v>
          </cell>
          <cell r="CJ15">
            <v>52245</v>
          </cell>
          <cell r="CK15">
            <v>481814</v>
          </cell>
          <cell r="CL15">
            <v>1437110</v>
          </cell>
          <cell r="CM15">
            <v>364383</v>
          </cell>
          <cell r="CN15">
            <v>42779756</v>
          </cell>
          <cell r="CO15">
            <v>3167007</v>
          </cell>
          <cell r="CP15">
            <v>3040077</v>
          </cell>
          <cell r="CQ15">
            <v>42890</v>
          </cell>
          <cell r="CR15">
            <v>84040</v>
          </cell>
          <cell r="CS15">
            <v>43861.8</v>
          </cell>
          <cell r="CT15">
            <v>1732211</v>
          </cell>
          <cell r="CU15">
            <v>721231</v>
          </cell>
          <cell r="CV15">
            <v>126291</v>
          </cell>
          <cell r="CW15">
            <v>243596.79999999999</v>
          </cell>
          <cell r="CX15">
            <v>83090</v>
          </cell>
          <cell r="CY15">
            <v>468693</v>
          </cell>
          <cell r="CZ15">
            <v>1854764</v>
          </cell>
          <cell r="DA15">
            <v>545628</v>
          </cell>
        </row>
        <row r="16">
          <cell r="A16" t="str">
            <v>kW - Residential</v>
          </cell>
          <cell r="B16" t="str">
            <v>YDR</v>
          </cell>
          <cell r="C16">
            <v>2004</v>
          </cell>
          <cell r="D16">
            <v>0</v>
          </cell>
          <cell r="E16">
            <v>0</v>
          </cell>
          <cell r="F16">
            <v>0</v>
          </cell>
          <cell r="G16">
            <v>0</v>
          </cell>
          <cell r="H16">
            <v>0</v>
          </cell>
          <cell r="I16">
            <v>0</v>
          </cell>
          <cell r="J16">
            <v>0</v>
          </cell>
          <cell r="K16">
            <v>0</v>
          </cell>
          <cell r="L16">
            <v>0</v>
          </cell>
          <cell r="M16">
            <v>0</v>
          </cell>
          <cell r="N16">
            <v>0</v>
          </cell>
          <cell r="O16">
            <v>226991</v>
          </cell>
          <cell r="P16">
            <v>0</v>
          </cell>
          <cell r="Q16">
            <v>10746</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303800</v>
          </cell>
          <cell r="AU16">
            <v>303800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927425</v>
          </cell>
          <cell r="DA16">
            <v>0</v>
          </cell>
        </row>
        <row r="17">
          <cell r="A17" t="str">
            <v>kW - Other</v>
          </cell>
          <cell r="B17" t="str">
            <v>YDO</v>
          </cell>
          <cell r="C17">
            <v>2004</v>
          </cell>
          <cell r="D17">
            <v>45593.4</v>
          </cell>
          <cell r="E17">
            <v>1873486</v>
          </cell>
          <cell r="F17">
            <v>1501581</v>
          </cell>
          <cell r="G17">
            <v>493322</v>
          </cell>
          <cell r="H17">
            <v>1463693</v>
          </cell>
          <cell r="I17">
            <v>2459547.2000000002</v>
          </cell>
          <cell r="J17">
            <v>2491204</v>
          </cell>
          <cell r="K17">
            <v>212814.4</v>
          </cell>
          <cell r="L17">
            <v>24947.9</v>
          </cell>
          <cell r="M17">
            <v>1410271</v>
          </cell>
          <cell r="N17">
            <v>81902</v>
          </cell>
          <cell r="O17">
            <v>453292</v>
          </cell>
          <cell r="P17">
            <v>19699</v>
          </cell>
          <cell r="Q17">
            <v>6311</v>
          </cell>
          <cell r="R17">
            <v>47998</v>
          </cell>
          <cell r="S17">
            <v>0</v>
          </cell>
          <cell r="T17">
            <v>13005242</v>
          </cell>
          <cell r="U17">
            <v>4919783</v>
          </cell>
          <cell r="V17">
            <v>549315</v>
          </cell>
          <cell r="W17">
            <v>0</v>
          </cell>
          <cell r="X17">
            <v>533079.69999999995</v>
          </cell>
          <cell r="Y17">
            <v>1152800</v>
          </cell>
          <cell r="Z17">
            <v>339954</v>
          </cell>
          <cell r="AA17">
            <v>63397</v>
          </cell>
          <cell r="AB17">
            <v>7845</v>
          </cell>
          <cell r="AC17">
            <v>157922.4</v>
          </cell>
          <cell r="AD17">
            <v>957859.7</v>
          </cell>
          <cell r="AE17">
            <v>906024</v>
          </cell>
          <cell r="AF17">
            <v>51835.7</v>
          </cell>
          <cell r="AG17">
            <v>183044</v>
          </cell>
          <cell r="AH17">
            <v>2443494</v>
          </cell>
          <cell r="AI17">
            <v>2442155</v>
          </cell>
          <cell r="AJ17">
            <v>1339</v>
          </cell>
          <cell r="AK17">
            <v>389565</v>
          </cell>
          <cell r="AL17">
            <v>806758</v>
          </cell>
          <cell r="AM17">
            <v>176186</v>
          </cell>
          <cell r="AN17">
            <v>9834326</v>
          </cell>
          <cell r="AO17">
            <v>7950640</v>
          </cell>
          <cell r="AP17">
            <v>1883686</v>
          </cell>
          <cell r="AQ17">
            <v>13516</v>
          </cell>
          <cell r="AR17">
            <v>284112</v>
          </cell>
          <cell r="AS17">
            <v>5486766</v>
          </cell>
          <cell r="AT17">
            <v>23141817.199999999</v>
          </cell>
          <cell r="AU17">
            <v>23125800</v>
          </cell>
          <cell r="AV17">
            <v>16017.2</v>
          </cell>
          <cell r="AW17">
            <v>9824794</v>
          </cell>
          <cell r="AX17">
            <v>123264</v>
          </cell>
          <cell r="AY17">
            <v>142985</v>
          </cell>
          <cell r="AZ17">
            <v>1064164</v>
          </cell>
          <cell r="BA17">
            <v>2775977</v>
          </cell>
          <cell r="BB17">
            <v>437521</v>
          </cell>
          <cell r="BC17">
            <v>228040.6</v>
          </cell>
          <cell r="BD17">
            <v>4371558</v>
          </cell>
          <cell r="BE17">
            <v>303130</v>
          </cell>
          <cell r="BF17">
            <v>382327.5</v>
          </cell>
          <cell r="BG17">
            <v>841710</v>
          </cell>
          <cell r="BH17">
            <v>0</v>
          </cell>
          <cell r="BI17">
            <v>811556.3</v>
          </cell>
          <cell r="BJ17">
            <v>798285</v>
          </cell>
          <cell r="BK17">
            <v>13271.3</v>
          </cell>
          <cell r="BL17">
            <v>1680083</v>
          </cell>
          <cell r="BM17">
            <v>1245299</v>
          </cell>
          <cell r="BN17">
            <v>434784</v>
          </cell>
          <cell r="BO17">
            <v>199394</v>
          </cell>
          <cell r="BP17">
            <v>526388</v>
          </cell>
          <cell r="BQ17">
            <v>660698</v>
          </cell>
          <cell r="BR17">
            <v>0</v>
          </cell>
          <cell r="BS17">
            <v>2724011</v>
          </cell>
          <cell r="BT17">
            <v>298747</v>
          </cell>
          <cell r="BU17">
            <v>400120</v>
          </cell>
          <cell r="BV17">
            <v>1359377</v>
          </cell>
          <cell r="BW17">
            <v>199324</v>
          </cell>
          <cell r="BX17">
            <v>0</v>
          </cell>
          <cell r="BY17">
            <v>939354</v>
          </cell>
          <cell r="BZ17">
            <v>8242</v>
          </cell>
          <cell r="CA17">
            <v>895573</v>
          </cell>
          <cell r="CB17">
            <v>35539</v>
          </cell>
          <cell r="CC17">
            <v>342128</v>
          </cell>
          <cell r="CD17">
            <v>9849687</v>
          </cell>
          <cell r="CE17">
            <v>9287131</v>
          </cell>
          <cell r="CF17">
            <v>562556</v>
          </cell>
          <cell r="CG17">
            <v>704175</v>
          </cell>
          <cell r="CH17">
            <v>136614</v>
          </cell>
          <cell r="CI17">
            <v>146561.70000000001</v>
          </cell>
          <cell r="CJ17">
            <v>52245</v>
          </cell>
          <cell r="CK17">
            <v>481814</v>
          </cell>
          <cell r="CL17">
            <v>1437110</v>
          </cell>
          <cell r="CM17">
            <v>364383</v>
          </cell>
          <cell r="CN17">
            <v>42779756</v>
          </cell>
          <cell r="CO17">
            <v>3167007</v>
          </cell>
          <cell r="CP17">
            <v>3040077</v>
          </cell>
          <cell r="CQ17">
            <v>42890</v>
          </cell>
          <cell r="CR17">
            <v>84040</v>
          </cell>
          <cell r="CS17">
            <v>43861.8</v>
          </cell>
          <cell r="CT17">
            <v>1732211</v>
          </cell>
          <cell r="CU17">
            <v>721231</v>
          </cell>
          <cell r="CV17">
            <v>126291</v>
          </cell>
          <cell r="CW17">
            <v>243596.79999999999</v>
          </cell>
          <cell r="CX17">
            <v>83090</v>
          </cell>
          <cell r="CY17">
            <v>468693</v>
          </cell>
          <cell r="CZ17">
            <v>927339</v>
          </cell>
          <cell r="DA17">
            <v>545628</v>
          </cell>
        </row>
        <row r="18">
          <cell r="A18" t="str">
            <v>Total service area</v>
          </cell>
          <cell r="B18" t="str">
            <v>AREA</v>
          </cell>
          <cell r="C18">
            <v>2004</v>
          </cell>
          <cell r="D18">
            <v>380.25</v>
          </cell>
          <cell r="E18">
            <v>374</v>
          </cell>
          <cell r="F18">
            <v>201.3</v>
          </cell>
          <cell r="G18">
            <v>257.5</v>
          </cell>
          <cell r="H18">
            <v>74</v>
          </cell>
          <cell r="I18">
            <v>188.16</v>
          </cell>
          <cell r="J18">
            <v>303</v>
          </cell>
          <cell r="K18">
            <v>10.77</v>
          </cell>
          <cell r="L18">
            <v>2</v>
          </cell>
          <cell r="M18">
            <v>70</v>
          </cell>
          <cell r="N18">
            <v>4.78</v>
          </cell>
          <cell r="O18">
            <v>57.8</v>
          </cell>
          <cell r="P18">
            <v>5.4</v>
          </cell>
          <cell r="Q18">
            <v>2</v>
          </cell>
          <cell r="R18">
            <v>66</v>
          </cell>
          <cell r="S18">
            <v>21.6</v>
          </cell>
          <cell r="T18">
            <v>287</v>
          </cell>
          <cell r="U18">
            <v>120</v>
          </cell>
          <cell r="V18">
            <v>46.96</v>
          </cell>
          <cell r="W18">
            <v>99</v>
          </cell>
          <cell r="X18">
            <v>104.56</v>
          </cell>
          <cell r="Y18">
            <v>44.66</v>
          </cell>
          <cell r="Z18">
            <v>168</v>
          </cell>
          <cell r="AA18">
            <v>26.5</v>
          </cell>
          <cell r="AB18">
            <v>1.5</v>
          </cell>
          <cell r="AC18">
            <v>14000</v>
          </cell>
          <cell r="AD18">
            <v>411.5</v>
          </cell>
          <cell r="AE18">
            <v>402.5</v>
          </cell>
          <cell r="AF18">
            <v>9</v>
          </cell>
          <cell r="AG18">
            <v>68.12</v>
          </cell>
          <cell r="AH18">
            <v>93</v>
          </cell>
          <cell r="AI18">
            <v>89</v>
          </cell>
          <cell r="AJ18">
            <v>4</v>
          </cell>
          <cell r="AK18">
            <v>1275</v>
          </cell>
          <cell r="AL18">
            <v>280.77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4</v>
          </cell>
          <cell r="BI18">
            <v>88</v>
          </cell>
          <cell r="BJ18">
            <v>41</v>
          </cell>
          <cell r="BK18">
            <v>47</v>
          </cell>
          <cell r="BL18">
            <v>775.8</v>
          </cell>
          <cell r="BM18">
            <v>208</v>
          </cell>
          <cell r="BN18">
            <v>567.79999999999995</v>
          </cell>
          <cell r="BO18">
            <v>125</v>
          </cell>
          <cell r="BP18">
            <v>693</v>
          </cell>
          <cell r="BQ18">
            <v>330</v>
          </cell>
          <cell r="BR18">
            <v>28</v>
          </cell>
          <cell r="BS18">
            <v>143</v>
          </cell>
          <cell r="BT18">
            <v>15.5</v>
          </cell>
          <cell r="BU18">
            <v>27</v>
          </cell>
          <cell r="BV18">
            <v>143</v>
          </cell>
          <cell r="BW18">
            <v>35.6</v>
          </cell>
          <cell r="BX18">
            <v>15</v>
          </cell>
          <cell r="BY18">
            <v>63.9</v>
          </cell>
          <cell r="BZ18">
            <v>2.3199999999999998</v>
          </cell>
          <cell r="CA18">
            <v>58.61</v>
          </cell>
          <cell r="CB18">
            <v>2.97</v>
          </cell>
          <cell r="CC18">
            <v>123.37</v>
          </cell>
          <cell r="CD18">
            <v>619</v>
          </cell>
          <cell r="CE18">
            <v>575</v>
          </cell>
          <cell r="CF18">
            <v>44</v>
          </cell>
          <cell r="CG18">
            <v>342</v>
          </cell>
          <cell r="CH18">
            <v>13</v>
          </cell>
          <cell r="CI18">
            <v>18.7</v>
          </cell>
          <cell r="CJ18">
            <v>536</v>
          </cell>
          <cell r="CK18">
            <v>32</v>
          </cell>
          <cell r="CL18">
            <v>381</v>
          </cell>
          <cell r="CM18">
            <v>9</v>
          </cell>
          <cell r="CN18">
            <v>650</v>
          </cell>
          <cell r="CO18">
            <v>639.1</v>
          </cell>
          <cell r="CP18">
            <v>414.5</v>
          </cell>
          <cell r="CQ18">
            <v>3.6</v>
          </cell>
          <cell r="CR18">
            <v>221</v>
          </cell>
          <cell r="CS18">
            <v>61</v>
          </cell>
          <cell r="CT18">
            <v>656</v>
          </cell>
          <cell r="CU18">
            <v>86</v>
          </cell>
          <cell r="CV18">
            <v>14</v>
          </cell>
          <cell r="CW18">
            <v>11.5</v>
          </cell>
          <cell r="CX18">
            <v>13.3</v>
          </cell>
          <cell r="CY18">
            <v>49.16</v>
          </cell>
          <cell r="CZ18">
            <v>147.24</v>
          </cell>
          <cell r="DA18">
            <v>31.15</v>
          </cell>
        </row>
        <row r="19">
          <cell r="A19" t="str">
            <v>Urban service area</v>
          </cell>
          <cell r="B19" t="str">
            <v>AREAURB</v>
          </cell>
          <cell r="C19">
            <v>2004</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13997</v>
          </cell>
          <cell r="AD19">
            <v>120.75</v>
          </cell>
          <cell r="AE19">
            <v>120.75</v>
          </cell>
          <cell r="AF19">
            <v>0</v>
          </cell>
          <cell r="AG19">
            <v>45.42</v>
          </cell>
          <cell r="AH19">
            <v>0</v>
          </cell>
          <cell r="AI19">
            <v>0</v>
          </cell>
          <cell r="AJ19">
            <v>0</v>
          </cell>
          <cell r="AK19">
            <v>1225</v>
          </cell>
          <cell r="AL19">
            <v>255.7</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20</v>
          </cell>
          <cell r="BG19">
            <v>372.4</v>
          </cell>
          <cell r="BH19">
            <v>4</v>
          </cell>
          <cell r="BI19">
            <v>22</v>
          </cell>
          <cell r="BJ19">
            <v>0</v>
          </cell>
          <cell r="BK19">
            <v>22</v>
          </cell>
          <cell r="BL19">
            <v>511.02</v>
          </cell>
          <cell r="BM19">
            <v>0</v>
          </cell>
          <cell r="BN19">
            <v>511.02</v>
          </cell>
          <cell r="BO19">
            <v>111</v>
          </cell>
          <cell r="BP19">
            <v>549</v>
          </cell>
          <cell r="BQ19">
            <v>279</v>
          </cell>
          <cell r="BR19">
            <v>0</v>
          </cell>
          <cell r="BS19">
            <v>41</v>
          </cell>
          <cell r="BT19">
            <v>0</v>
          </cell>
          <cell r="BU19">
            <v>0</v>
          </cell>
          <cell r="BV19">
            <v>71.64</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v>
          </cell>
          <cell r="CM19">
            <v>8</v>
          </cell>
          <cell r="CN19">
            <v>0</v>
          </cell>
          <cell r="CO19">
            <v>386</v>
          </cell>
          <cell r="CP19">
            <v>175</v>
          </cell>
          <cell r="CQ19">
            <v>0</v>
          </cell>
          <cell r="CR19">
            <v>211</v>
          </cell>
          <cell r="CS19">
            <v>8</v>
          </cell>
          <cell r="CT19">
            <v>590</v>
          </cell>
          <cell r="CU19">
            <v>0</v>
          </cell>
          <cell r="CV19">
            <v>0</v>
          </cell>
          <cell r="CW19">
            <v>0</v>
          </cell>
          <cell r="CX19">
            <v>0</v>
          </cell>
          <cell r="CY19">
            <v>0</v>
          </cell>
          <cell r="CZ19">
            <v>76.03</v>
          </cell>
          <cell r="DA19">
            <v>0</v>
          </cell>
        </row>
        <row r="20">
          <cell r="A20" t="str">
            <v>Rural service area</v>
          </cell>
          <cell r="B20" t="str">
            <v>AREARUR</v>
          </cell>
          <cell r="C20">
            <v>2004</v>
          </cell>
          <cell r="D20">
            <v>380.25</v>
          </cell>
          <cell r="E20">
            <v>363</v>
          </cell>
          <cell r="F20">
            <v>54</v>
          </cell>
          <cell r="G20">
            <v>17.5</v>
          </cell>
          <cell r="H20">
            <v>74</v>
          </cell>
          <cell r="I20">
            <v>97.77</v>
          </cell>
          <cell r="J20">
            <v>90</v>
          </cell>
          <cell r="K20">
            <v>10.77</v>
          </cell>
          <cell r="L20">
            <v>2</v>
          </cell>
          <cell r="M20">
            <v>70</v>
          </cell>
          <cell r="N20">
            <v>4.78</v>
          </cell>
          <cell r="O20">
            <v>57.8</v>
          </cell>
          <cell r="P20">
            <v>5.4</v>
          </cell>
          <cell r="Q20">
            <v>2</v>
          </cell>
          <cell r="R20">
            <v>18</v>
          </cell>
          <cell r="S20">
            <v>21.6</v>
          </cell>
          <cell r="T20">
            <v>287</v>
          </cell>
          <cell r="U20">
            <v>120</v>
          </cell>
          <cell r="V20">
            <v>46.96</v>
          </cell>
          <cell r="W20">
            <v>26</v>
          </cell>
          <cell r="X20">
            <v>66.56</v>
          </cell>
          <cell r="Y20">
            <v>44.66</v>
          </cell>
          <cell r="Z20">
            <v>35</v>
          </cell>
          <cell r="AA20">
            <v>26.5</v>
          </cell>
          <cell r="AB20">
            <v>1.5</v>
          </cell>
          <cell r="AC20">
            <v>3</v>
          </cell>
          <cell r="AD20">
            <v>290.75</v>
          </cell>
          <cell r="AE20">
            <v>281.75</v>
          </cell>
          <cell r="AF20">
            <v>9</v>
          </cell>
          <cell r="AG20">
            <v>22.7</v>
          </cell>
          <cell r="AH20">
            <v>93</v>
          </cell>
          <cell r="AI20">
            <v>89</v>
          </cell>
          <cell r="AJ20">
            <v>4</v>
          </cell>
          <cell r="AK20">
            <v>50</v>
          </cell>
          <cell r="AL20">
            <v>25.07</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0</v>
          </cell>
          <cell r="BG20">
            <v>8.6</v>
          </cell>
          <cell r="BH20">
            <v>0</v>
          </cell>
          <cell r="BI20">
            <v>66</v>
          </cell>
          <cell r="BJ20">
            <v>41</v>
          </cell>
          <cell r="BK20">
            <v>25</v>
          </cell>
          <cell r="BL20">
            <v>264.77999999999997</v>
          </cell>
          <cell r="BM20">
            <v>208</v>
          </cell>
          <cell r="BN20">
            <v>56.78</v>
          </cell>
          <cell r="BO20">
            <v>14</v>
          </cell>
          <cell r="BP20">
            <v>144</v>
          </cell>
          <cell r="BQ20">
            <v>51</v>
          </cell>
          <cell r="BR20">
            <v>28</v>
          </cell>
          <cell r="BS20">
            <v>102</v>
          </cell>
          <cell r="BT20">
            <v>15.5</v>
          </cell>
          <cell r="BU20">
            <v>27</v>
          </cell>
          <cell r="BV20">
            <v>71.36</v>
          </cell>
          <cell r="BW20">
            <v>35.6</v>
          </cell>
          <cell r="BX20">
            <v>15</v>
          </cell>
          <cell r="BY20">
            <v>63.9</v>
          </cell>
          <cell r="BZ20">
            <v>2.3199999999999998</v>
          </cell>
          <cell r="CA20">
            <v>58.61</v>
          </cell>
          <cell r="CB20">
            <v>2.97</v>
          </cell>
          <cell r="CC20">
            <v>20.43</v>
          </cell>
          <cell r="CD20">
            <v>562</v>
          </cell>
          <cell r="CE20">
            <v>518</v>
          </cell>
          <cell r="CF20">
            <v>44</v>
          </cell>
          <cell r="CG20">
            <v>58</v>
          </cell>
          <cell r="CH20">
            <v>13</v>
          </cell>
          <cell r="CI20">
            <v>11.5</v>
          </cell>
          <cell r="CJ20">
            <v>6</v>
          </cell>
          <cell r="CK20">
            <v>32</v>
          </cell>
          <cell r="CL20">
            <v>55</v>
          </cell>
          <cell r="CM20">
            <v>1</v>
          </cell>
          <cell r="CN20">
            <v>650</v>
          </cell>
          <cell r="CO20">
            <v>253.1</v>
          </cell>
          <cell r="CP20">
            <v>239.5</v>
          </cell>
          <cell r="CQ20">
            <v>3.6</v>
          </cell>
          <cell r="CR20">
            <v>10</v>
          </cell>
          <cell r="CS20">
            <v>53</v>
          </cell>
          <cell r="CT20">
            <v>66</v>
          </cell>
          <cell r="CU20">
            <v>86</v>
          </cell>
          <cell r="CV20">
            <v>14</v>
          </cell>
          <cell r="CW20">
            <v>11.5</v>
          </cell>
          <cell r="CX20">
            <v>13.3</v>
          </cell>
          <cell r="CY20">
            <v>49.16</v>
          </cell>
          <cell r="CZ20">
            <v>71.209999999999994</v>
          </cell>
          <cell r="DA20">
            <v>31.15</v>
          </cell>
        </row>
        <row r="21">
          <cell r="A21" t="str">
            <v>Service area population</v>
          </cell>
          <cell r="B21" t="str">
            <v>POP</v>
          </cell>
          <cell r="C21">
            <v>2004</v>
          </cell>
          <cell r="D21">
            <v>3000</v>
          </cell>
          <cell r="E21">
            <v>167053</v>
          </cell>
          <cell r="F21">
            <v>83178</v>
          </cell>
          <cell r="G21">
            <v>25000</v>
          </cell>
          <cell r="H21">
            <v>88300</v>
          </cell>
          <cell r="I21">
            <v>160800</v>
          </cell>
          <cell r="J21">
            <v>127950</v>
          </cell>
          <cell r="K21">
            <v>17800</v>
          </cell>
          <cell r="L21">
            <v>2600</v>
          </cell>
          <cell r="M21">
            <v>94769</v>
          </cell>
          <cell r="N21">
            <v>3100</v>
          </cell>
          <cell r="O21">
            <v>22000</v>
          </cell>
          <cell r="P21">
            <v>4000</v>
          </cell>
          <cell r="Q21">
            <v>1450</v>
          </cell>
          <cell r="R21">
            <v>6700</v>
          </cell>
          <cell r="S21">
            <v>68450</v>
          </cell>
          <cell r="T21">
            <v>690000</v>
          </cell>
          <cell r="U21">
            <v>208402</v>
          </cell>
          <cell r="V21">
            <v>32542</v>
          </cell>
          <cell r="W21">
            <v>7138</v>
          </cell>
          <cell r="X21">
            <v>68360</v>
          </cell>
          <cell r="Y21">
            <v>42361</v>
          </cell>
          <cell r="Z21">
            <v>27750</v>
          </cell>
          <cell r="AA21">
            <v>8315</v>
          </cell>
          <cell r="AB21">
            <v>1600</v>
          </cell>
          <cell r="AC21">
            <v>18347</v>
          </cell>
          <cell r="AD21">
            <v>103918</v>
          </cell>
          <cell r="AE21">
            <v>97200</v>
          </cell>
          <cell r="AF21">
            <v>6718</v>
          </cell>
          <cell r="AG21">
            <v>21500</v>
          </cell>
          <cell r="AH21">
            <v>121475</v>
          </cell>
          <cell r="AI21">
            <v>117900</v>
          </cell>
          <cell r="AJ21">
            <v>3575</v>
          </cell>
          <cell r="AK21">
            <v>43728</v>
          </cell>
          <cell r="AL21">
            <v>55000</v>
          </cell>
          <cell r="AM21">
            <v>5825</v>
          </cell>
          <cell r="AN21">
            <v>603762</v>
          </cell>
          <cell r="AO21">
            <v>469504</v>
          </cell>
          <cell r="AP21">
            <v>134258</v>
          </cell>
          <cell r="AQ21">
            <v>2433</v>
          </cell>
          <cell r="AR21">
            <v>10500</v>
          </cell>
          <cell r="AS21">
            <v>413000</v>
          </cell>
          <cell r="AT21">
            <v>2492200</v>
          </cell>
          <cell r="AU21">
            <v>2490000</v>
          </cell>
          <cell r="AV21">
            <v>2200</v>
          </cell>
          <cell r="AW21">
            <v>766175</v>
          </cell>
          <cell r="AX21">
            <v>30900</v>
          </cell>
          <cell r="AY21">
            <v>12000</v>
          </cell>
          <cell r="AZ21">
            <v>57800</v>
          </cell>
          <cell r="BA21">
            <v>220740</v>
          </cell>
          <cell r="BB21">
            <v>22000</v>
          </cell>
          <cell r="BC21">
            <v>21007</v>
          </cell>
          <cell r="BD21">
            <v>336500</v>
          </cell>
          <cell r="BE21">
            <v>19756</v>
          </cell>
          <cell r="BF21">
            <v>15700</v>
          </cell>
          <cell r="BG21">
            <v>56000</v>
          </cell>
          <cell r="BH21">
            <v>402</v>
          </cell>
          <cell r="BI21">
            <v>78991</v>
          </cell>
          <cell r="BJ21">
            <v>74636</v>
          </cell>
          <cell r="BK21">
            <v>4355</v>
          </cell>
          <cell r="BL21">
            <v>121762</v>
          </cell>
          <cell r="BM21">
            <v>82062</v>
          </cell>
          <cell r="BN21">
            <v>39700</v>
          </cell>
          <cell r="BO21">
            <v>13839</v>
          </cell>
          <cell r="BP21">
            <v>31000</v>
          </cell>
          <cell r="BQ21">
            <v>53000</v>
          </cell>
          <cell r="BR21">
            <v>14000</v>
          </cell>
          <cell r="BS21">
            <v>155700</v>
          </cell>
          <cell r="BT21">
            <v>27576</v>
          </cell>
          <cell r="BU21">
            <v>30000</v>
          </cell>
          <cell r="BV21">
            <v>150000</v>
          </cell>
          <cell r="BW21">
            <v>20200</v>
          </cell>
          <cell r="BX21">
            <v>6500</v>
          </cell>
          <cell r="BY21">
            <v>79265</v>
          </cell>
          <cell r="BZ21">
            <v>1346</v>
          </cell>
          <cell r="CA21">
            <v>75440</v>
          </cell>
          <cell r="CB21">
            <v>2479</v>
          </cell>
          <cell r="CC21">
            <v>18450</v>
          </cell>
          <cell r="CD21">
            <v>683000</v>
          </cell>
          <cell r="CE21">
            <v>638000</v>
          </cell>
          <cell r="CF21">
            <v>45000</v>
          </cell>
          <cell r="CG21">
            <v>78000</v>
          </cell>
          <cell r="CH21">
            <v>8125</v>
          </cell>
          <cell r="CI21">
            <v>9900</v>
          </cell>
          <cell r="CJ21">
            <v>5336</v>
          </cell>
          <cell r="CK21">
            <v>32000</v>
          </cell>
          <cell r="CL21">
            <v>109615</v>
          </cell>
          <cell r="CM21">
            <v>15140</v>
          </cell>
          <cell r="CN21">
            <v>2500000</v>
          </cell>
          <cell r="CO21">
            <v>307551</v>
          </cell>
          <cell r="CP21">
            <v>289476</v>
          </cell>
          <cell r="CQ21">
            <v>7550</v>
          </cell>
          <cell r="CR21">
            <v>10525</v>
          </cell>
          <cell r="CS21">
            <v>15000</v>
          </cell>
          <cell r="CT21">
            <v>139800</v>
          </cell>
          <cell r="CU21">
            <v>47161</v>
          </cell>
          <cell r="CV21">
            <v>6400</v>
          </cell>
          <cell r="CW21">
            <v>7411</v>
          </cell>
          <cell r="CX21">
            <v>3800</v>
          </cell>
          <cell r="CY21">
            <v>41200</v>
          </cell>
          <cell r="CZ21">
            <v>110000</v>
          </cell>
          <cell r="DA21">
            <v>33800</v>
          </cell>
        </row>
        <row r="22">
          <cell r="A22" t="str">
            <v>Municipal population</v>
          </cell>
          <cell r="B22" t="str">
            <v>POPCITY</v>
          </cell>
          <cell r="C22">
            <v>2004</v>
          </cell>
          <cell r="D22">
            <v>3000</v>
          </cell>
          <cell r="E22">
            <v>181579</v>
          </cell>
          <cell r="F22">
            <v>85488</v>
          </cell>
          <cell r="G22">
            <v>30000</v>
          </cell>
          <cell r="H22">
            <v>88300</v>
          </cell>
          <cell r="I22">
            <v>160800</v>
          </cell>
          <cell r="J22">
            <v>127950</v>
          </cell>
          <cell r="K22">
            <v>26000</v>
          </cell>
          <cell r="L22">
            <v>2600</v>
          </cell>
          <cell r="M22">
            <v>107341</v>
          </cell>
          <cell r="N22">
            <v>3100</v>
          </cell>
          <cell r="O22">
            <v>22000</v>
          </cell>
          <cell r="P22">
            <v>12500</v>
          </cell>
          <cell r="Q22">
            <v>4500</v>
          </cell>
          <cell r="R22">
            <v>5000</v>
          </cell>
          <cell r="S22">
            <v>20997</v>
          </cell>
          <cell r="T22">
            <v>690000</v>
          </cell>
          <cell r="U22">
            <v>208402</v>
          </cell>
          <cell r="V22">
            <v>62569</v>
          </cell>
          <cell r="W22">
            <v>8700</v>
          </cell>
          <cell r="X22">
            <v>98785</v>
          </cell>
          <cell r="Y22">
            <v>42361</v>
          </cell>
          <cell r="Z22">
            <v>27750</v>
          </cell>
          <cell r="AA22">
            <v>8315</v>
          </cell>
          <cell r="AB22">
            <v>1600</v>
          </cell>
          <cell r="AC22">
            <v>4090</v>
          </cell>
          <cell r="AD22">
            <v>177000</v>
          </cell>
          <cell r="AE22">
            <v>162000</v>
          </cell>
          <cell r="AF22">
            <v>15000</v>
          </cell>
          <cell r="AG22">
            <v>21500</v>
          </cell>
          <cell r="AH22">
            <v>121475</v>
          </cell>
          <cell r="AI22">
            <v>117900</v>
          </cell>
          <cell r="AJ22">
            <v>3575</v>
          </cell>
          <cell r="AK22">
            <v>43728</v>
          </cell>
          <cell r="AL22">
            <v>55000</v>
          </cell>
          <cell r="AM22">
            <v>5825</v>
          </cell>
          <cell r="AN22">
            <v>661402</v>
          </cell>
          <cell r="AO22">
            <v>527144</v>
          </cell>
          <cell r="AP22">
            <v>134258</v>
          </cell>
          <cell r="AQ22">
            <v>2433</v>
          </cell>
          <cell r="AR22">
            <v>10500</v>
          </cell>
          <cell r="AS22">
            <v>413000</v>
          </cell>
          <cell r="AT22">
            <v>2492200</v>
          </cell>
          <cell r="AU22">
            <v>2490000</v>
          </cell>
          <cell r="AV22">
            <v>2200</v>
          </cell>
          <cell r="AW22">
            <v>848875</v>
          </cell>
          <cell r="AX22">
            <v>30900</v>
          </cell>
          <cell r="AY22">
            <v>16500</v>
          </cell>
          <cell r="AZ22">
            <v>119000</v>
          </cell>
          <cell r="BA22">
            <v>220740</v>
          </cell>
          <cell r="BB22">
            <v>22000</v>
          </cell>
          <cell r="BC22">
            <v>34035</v>
          </cell>
          <cell r="BD22">
            <v>336500</v>
          </cell>
          <cell r="BE22">
            <v>24756</v>
          </cell>
          <cell r="BF22">
            <v>16700</v>
          </cell>
          <cell r="BG22">
            <v>56000</v>
          </cell>
          <cell r="BH22">
            <v>402</v>
          </cell>
          <cell r="BI22">
            <v>83868</v>
          </cell>
          <cell r="BJ22">
            <v>74636</v>
          </cell>
          <cell r="BK22">
            <v>9232</v>
          </cell>
          <cell r="BL22">
            <v>129462</v>
          </cell>
          <cell r="BM22">
            <v>82062</v>
          </cell>
          <cell r="BN22">
            <v>47400</v>
          </cell>
          <cell r="BO22">
            <v>13839</v>
          </cell>
          <cell r="BP22">
            <v>61447</v>
          </cell>
          <cell r="BQ22">
            <v>53000</v>
          </cell>
          <cell r="BR22">
            <v>18777</v>
          </cell>
          <cell r="BS22">
            <v>155700</v>
          </cell>
          <cell r="BT22">
            <v>27576</v>
          </cell>
          <cell r="BU22">
            <v>30000</v>
          </cell>
          <cell r="BV22">
            <v>150000</v>
          </cell>
          <cell r="BW22">
            <v>20200</v>
          </cell>
          <cell r="BX22">
            <v>6500</v>
          </cell>
          <cell r="BY22">
            <v>79265</v>
          </cell>
          <cell r="BZ22">
            <v>1346</v>
          </cell>
          <cell r="CA22">
            <v>75440</v>
          </cell>
          <cell r="CB22">
            <v>2479</v>
          </cell>
          <cell r="CC22">
            <v>18450</v>
          </cell>
          <cell r="CD22">
            <v>683000</v>
          </cell>
          <cell r="CE22">
            <v>638000</v>
          </cell>
          <cell r="CF22">
            <v>45000</v>
          </cell>
          <cell r="CG22">
            <v>75000</v>
          </cell>
          <cell r="CH22">
            <v>8125</v>
          </cell>
          <cell r="CI22">
            <v>16700</v>
          </cell>
          <cell r="CJ22">
            <v>5336</v>
          </cell>
          <cell r="CK22">
            <v>32000</v>
          </cell>
          <cell r="CL22">
            <v>109016</v>
          </cell>
          <cell r="CM22">
            <v>15000</v>
          </cell>
          <cell r="CN22">
            <v>2500000</v>
          </cell>
          <cell r="CO22">
            <v>392428</v>
          </cell>
          <cell r="CP22">
            <v>345270</v>
          </cell>
          <cell r="CQ22">
            <v>21000</v>
          </cell>
          <cell r="CR22">
            <v>26158</v>
          </cell>
          <cell r="CS22">
            <v>15000</v>
          </cell>
          <cell r="CT22">
            <v>139800</v>
          </cell>
          <cell r="CU22">
            <v>47161</v>
          </cell>
          <cell r="CV22">
            <v>11000</v>
          </cell>
          <cell r="CW22">
            <v>7411</v>
          </cell>
          <cell r="CX22">
            <v>9000</v>
          </cell>
          <cell r="CY22">
            <v>66700</v>
          </cell>
          <cell r="CZ22">
            <v>110000</v>
          </cell>
          <cell r="DA22">
            <v>34000</v>
          </cell>
        </row>
        <row r="23">
          <cell r="A23" t="str">
            <v>No seasonal occupacy customers</v>
          </cell>
          <cell r="B23" t="str">
            <v>YNSUM</v>
          </cell>
          <cell r="C23">
            <v>2004</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148</v>
          </cell>
          <cell r="AE23">
            <v>142</v>
          </cell>
          <cell r="AF23">
            <v>6</v>
          </cell>
          <cell r="AG23">
            <v>0</v>
          </cell>
          <cell r="AH23">
            <v>0</v>
          </cell>
          <cell r="AI23">
            <v>0</v>
          </cell>
          <cell r="AJ23">
            <v>0</v>
          </cell>
          <cell r="AK23">
            <v>5000</v>
          </cell>
          <cell r="AL23">
            <v>0</v>
          </cell>
          <cell r="AM23">
            <v>0</v>
          </cell>
          <cell r="AN23">
            <v>0</v>
          </cell>
          <cell r="AO23">
            <v>0</v>
          </cell>
          <cell r="AP23">
            <v>0</v>
          </cell>
          <cell r="AQ23">
            <v>0</v>
          </cell>
          <cell r="AR23">
            <v>0</v>
          </cell>
          <cell r="AS23">
            <v>0</v>
          </cell>
          <cell r="AT23">
            <v>154000</v>
          </cell>
          <cell r="AU23">
            <v>154000</v>
          </cell>
          <cell r="AV23">
            <v>0</v>
          </cell>
          <cell r="AW23">
            <v>0</v>
          </cell>
          <cell r="AX23">
            <v>828</v>
          </cell>
          <cell r="AY23">
            <v>200</v>
          </cell>
          <cell r="AZ23">
            <v>0</v>
          </cell>
          <cell r="BA23">
            <v>0</v>
          </cell>
          <cell r="BB23">
            <v>0</v>
          </cell>
          <cell r="BC23">
            <v>151</v>
          </cell>
          <cell r="BD23">
            <v>0</v>
          </cell>
          <cell r="BE23">
            <v>0</v>
          </cell>
          <cell r="BF23">
            <v>0</v>
          </cell>
          <cell r="BG23">
            <v>0</v>
          </cell>
          <cell r="BH23">
            <v>0</v>
          </cell>
          <cell r="BI23">
            <v>525</v>
          </cell>
          <cell r="BJ23">
            <v>0</v>
          </cell>
          <cell r="BK23">
            <v>525</v>
          </cell>
          <cell r="BL23">
            <v>0</v>
          </cell>
          <cell r="BM23">
            <v>0</v>
          </cell>
          <cell r="BN23">
            <v>0</v>
          </cell>
          <cell r="BO23">
            <v>215</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0</v>
          </cell>
          <cell r="CE23">
            <v>0</v>
          </cell>
          <cell r="CF23">
            <v>0</v>
          </cell>
          <cell r="CG23">
            <v>100</v>
          </cell>
          <cell r="CH23">
            <v>0</v>
          </cell>
          <cell r="CI23">
            <v>0</v>
          </cell>
          <cell r="CJ23">
            <v>112</v>
          </cell>
          <cell r="CK23">
            <v>0</v>
          </cell>
          <cell r="CL23">
            <v>0</v>
          </cell>
          <cell r="CM23">
            <v>0</v>
          </cell>
          <cell r="CN23">
            <v>0</v>
          </cell>
          <cell r="CO23">
            <v>1616</v>
          </cell>
          <cell r="CP23">
            <v>0</v>
          </cell>
          <cell r="CQ23">
            <v>0</v>
          </cell>
          <cell r="CR23">
            <v>1616</v>
          </cell>
          <cell r="CS23">
            <v>2000</v>
          </cell>
          <cell r="CT23">
            <v>0</v>
          </cell>
          <cell r="CU23">
            <v>0</v>
          </cell>
          <cell r="CV23">
            <v>0</v>
          </cell>
          <cell r="CW23">
            <v>0</v>
          </cell>
          <cell r="CX23">
            <v>0</v>
          </cell>
          <cell r="CY23">
            <v>450</v>
          </cell>
          <cell r="CZ23">
            <v>0</v>
          </cell>
          <cell r="DA23">
            <v>0</v>
          </cell>
        </row>
        <row r="24">
          <cell r="A24" t="str">
            <v>Utility winter max peak load</v>
          </cell>
          <cell r="B24" t="str">
            <v>PEAKW</v>
          </cell>
          <cell r="C24">
            <v>2004</v>
          </cell>
          <cell r="D24">
            <v>7906</v>
          </cell>
          <cell r="E24">
            <v>274862</v>
          </cell>
          <cell r="F24">
            <v>176687</v>
          </cell>
          <cell r="G24">
            <v>43268</v>
          </cell>
          <cell r="H24">
            <v>159544</v>
          </cell>
          <cell r="I24">
            <v>286076</v>
          </cell>
          <cell r="J24">
            <v>244129</v>
          </cell>
          <cell r="K24">
            <v>27631</v>
          </cell>
          <cell r="L24">
            <v>7834</v>
          </cell>
          <cell r="M24">
            <v>140468</v>
          </cell>
          <cell r="N24">
            <v>5811</v>
          </cell>
          <cell r="O24">
            <v>70523</v>
          </cell>
          <cell r="P24">
            <v>7251</v>
          </cell>
          <cell r="Q24">
            <v>1631</v>
          </cell>
          <cell r="R24">
            <v>16258</v>
          </cell>
          <cell r="S24">
            <v>34623</v>
          </cell>
          <cell r="T24">
            <v>1240200</v>
          </cell>
          <cell r="U24">
            <v>488</v>
          </cell>
          <cell r="V24">
            <v>81291</v>
          </cell>
          <cell r="W24">
            <v>15318</v>
          </cell>
          <cell r="X24">
            <v>91605</v>
          </cell>
          <cell r="Y24">
            <v>102891</v>
          </cell>
          <cell r="Z24">
            <v>50710</v>
          </cell>
          <cell r="AA24">
            <v>18859</v>
          </cell>
          <cell r="AB24">
            <v>11563</v>
          </cell>
          <cell r="AC24">
            <v>44252</v>
          </cell>
          <cell r="AD24">
            <v>197509</v>
          </cell>
          <cell r="AE24">
            <v>184248</v>
          </cell>
          <cell r="AF24">
            <v>13261</v>
          </cell>
          <cell r="AG24">
            <v>39459</v>
          </cell>
          <cell r="AH24">
            <v>247574</v>
          </cell>
          <cell r="AI24">
            <v>243748</v>
          </cell>
          <cell r="AJ24">
            <v>3826</v>
          </cell>
          <cell r="AK24">
            <v>73676</v>
          </cell>
          <cell r="AL24">
            <v>98950</v>
          </cell>
          <cell r="AM24">
            <v>22160</v>
          </cell>
          <cell r="AN24">
            <v>1077296.67</v>
          </cell>
          <cell r="AO24">
            <v>836121.67</v>
          </cell>
          <cell r="AP24">
            <v>241175</v>
          </cell>
          <cell r="AQ24">
            <v>7653</v>
          </cell>
          <cell r="AR24">
            <v>40003</v>
          </cell>
          <cell r="AS24">
            <v>578900</v>
          </cell>
          <cell r="AT24">
            <v>9651</v>
          </cell>
          <cell r="AU24">
            <v>4438</v>
          </cell>
          <cell r="AV24">
            <v>5213</v>
          </cell>
          <cell r="AW24">
            <v>1405279</v>
          </cell>
          <cell r="AX24">
            <v>53706</v>
          </cell>
          <cell r="AY24">
            <v>22867</v>
          </cell>
          <cell r="AZ24">
            <v>147462</v>
          </cell>
          <cell r="BA24">
            <v>344351</v>
          </cell>
          <cell r="BB24">
            <v>50333</v>
          </cell>
          <cell r="BC24">
            <v>46324</v>
          </cell>
          <cell r="BD24">
            <v>536394</v>
          </cell>
          <cell r="BE24">
            <v>34630</v>
          </cell>
          <cell r="BF24">
            <v>40658</v>
          </cell>
          <cell r="BG24">
            <v>104178</v>
          </cell>
          <cell r="BH24">
            <v>3991</v>
          </cell>
          <cell r="BI24">
            <v>132614</v>
          </cell>
          <cell r="BJ24">
            <v>122374</v>
          </cell>
          <cell r="BK24">
            <v>10240</v>
          </cell>
          <cell r="BL24">
            <v>201345</v>
          </cell>
          <cell r="BM24">
            <v>139345</v>
          </cell>
          <cell r="BN24">
            <v>62000</v>
          </cell>
          <cell r="BO24">
            <v>30163</v>
          </cell>
          <cell r="BP24">
            <v>64706</v>
          </cell>
          <cell r="BQ24">
            <v>121809</v>
          </cell>
          <cell r="BR24">
            <v>23920</v>
          </cell>
          <cell r="BS24">
            <v>275735</v>
          </cell>
          <cell r="BT24">
            <v>42087</v>
          </cell>
          <cell r="BU24">
            <v>74924</v>
          </cell>
          <cell r="BV24">
            <v>233000</v>
          </cell>
          <cell r="BW24">
            <v>43015</v>
          </cell>
          <cell r="BX24">
            <v>20090</v>
          </cell>
          <cell r="BY24">
            <v>161348</v>
          </cell>
          <cell r="BZ24">
            <v>2976</v>
          </cell>
          <cell r="CA24">
            <v>151842</v>
          </cell>
          <cell r="CB24">
            <v>6530</v>
          </cell>
          <cell r="CC24">
            <v>33790</v>
          </cell>
          <cell r="CD24">
            <v>1066070</v>
          </cell>
          <cell r="CE24">
            <v>992497</v>
          </cell>
          <cell r="CF24">
            <v>73573</v>
          </cell>
          <cell r="CG24">
            <v>151</v>
          </cell>
          <cell r="CH24">
            <v>19991</v>
          </cell>
          <cell r="CI24">
            <v>26771</v>
          </cell>
          <cell r="CJ24">
            <v>21279</v>
          </cell>
          <cell r="CK24">
            <v>60964</v>
          </cell>
          <cell r="CL24">
            <v>198752</v>
          </cell>
          <cell r="CM24">
            <v>38752</v>
          </cell>
          <cell r="CN24">
            <v>4420214</v>
          </cell>
          <cell r="CO24">
            <v>458551</v>
          </cell>
          <cell r="CP24">
            <v>426300</v>
          </cell>
          <cell r="CQ24">
            <v>10016</v>
          </cell>
          <cell r="CR24">
            <v>22235</v>
          </cell>
          <cell r="CS24">
            <v>24285</v>
          </cell>
          <cell r="CT24">
            <v>227746</v>
          </cell>
          <cell r="CU24">
            <v>84210</v>
          </cell>
          <cell r="CV24">
            <v>16254</v>
          </cell>
          <cell r="CW24">
            <v>24</v>
          </cell>
          <cell r="CX24">
            <v>11065</v>
          </cell>
          <cell r="CY24">
            <v>94390</v>
          </cell>
          <cell r="CZ24">
            <v>152518</v>
          </cell>
          <cell r="DA24">
            <v>67515</v>
          </cell>
        </row>
        <row r="25">
          <cell r="A25" t="str">
            <v>Utility summer max peak load</v>
          </cell>
          <cell r="B25" t="str">
            <v>PEAKS</v>
          </cell>
          <cell r="C25">
            <v>2004</v>
          </cell>
          <cell r="D25">
            <v>7482</v>
          </cell>
          <cell r="E25">
            <v>274400</v>
          </cell>
          <cell r="F25">
            <v>203116</v>
          </cell>
          <cell r="G25">
            <v>45669</v>
          </cell>
          <cell r="H25">
            <v>172536</v>
          </cell>
          <cell r="I25">
            <v>338382</v>
          </cell>
          <cell r="J25">
            <v>278055</v>
          </cell>
          <cell r="K25">
            <v>24930</v>
          </cell>
          <cell r="L25">
            <v>6092</v>
          </cell>
          <cell r="M25">
            <v>167094</v>
          </cell>
          <cell r="N25">
            <v>5684</v>
          </cell>
          <cell r="O25">
            <v>54873</v>
          </cell>
          <cell r="P25">
            <v>4509</v>
          </cell>
          <cell r="Q25">
            <v>1572</v>
          </cell>
          <cell r="R25">
            <v>14906</v>
          </cell>
          <cell r="S25">
            <v>43845</v>
          </cell>
          <cell r="T25">
            <v>1426800</v>
          </cell>
          <cell r="U25">
            <v>602</v>
          </cell>
          <cell r="V25">
            <v>64632</v>
          </cell>
          <cell r="W25">
            <v>9225</v>
          </cell>
          <cell r="X25">
            <v>124845</v>
          </cell>
          <cell r="Y25">
            <v>99671</v>
          </cell>
          <cell r="Z25">
            <v>49484</v>
          </cell>
          <cell r="AA25">
            <v>13508</v>
          </cell>
          <cell r="AB25">
            <v>8129</v>
          </cell>
          <cell r="AC25">
            <v>23287</v>
          </cell>
          <cell r="AD25">
            <v>149649</v>
          </cell>
          <cell r="AE25">
            <v>140106</v>
          </cell>
          <cell r="AF25">
            <v>9543</v>
          </cell>
          <cell r="AG25">
            <v>53374</v>
          </cell>
          <cell r="AH25">
            <v>258016</v>
          </cell>
          <cell r="AI25">
            <v>254968</v>
          </cell>
          <cell r="AJ25">
            <v>3048</v>
          </cell>
          <cell r="AK25">
            <v>66423</v>
          </cell>
          <cell r="AL25">
            <v>90154</v>
          </cell>
          <cell r="AM25">
            <v>17926</v>
          </cell>
          <cell r="AN25">
            <v>1181579.23</v>
          </cell>
          <cell r="AO25">
            <v>916979.23</v>
          </cell>
          <cell r="AP25">
            <v>264600</v>
          </cell>
          <cell r="AQ25">
            <v>4896</v>
          </cell>
          <cell r="AR25">
            <v>32076</v>
          </cell>
          <cell r="AS25">
            <v>645900</v>
          </cell>
          <cell r="AT25">
            <v>6247</v>
          </cell>
          <cell r="AU25">
            <v>3043</v>
          </cell>
          <cell r="AV25">
            <v>3204</v>
          </cell>
          <cell r="AW25">
            <v>1256230</v>
          </cell>
          <cell r="AX25">
            <v>38260</v>
          </cell>
          <cell r="AY25">
            <v>17147</v>
          </cell>
          <cell r="AZ25">
            <v>109502</v>
          </cell>
          <cell r="BA25">
            <v>338448</v>
          </cell>
          <cell r="BB25">
            <v>43804</v>
          </cell>
          <cell r="BC25">
            <v>34343</v>
          </cell>
          <cell r="BD25">
            <v>626856</v>
          </cell>
          <cell r="BE25">
            <v>37690</v>
          </cell>
          <cell r="BF25">
            <v>36300</v>
          </cell>
          <cell r="BG25">
            <v>101506</v>
          </cell>
          <cell r="BH25">
            <v>3891</v>
          </cell>
          <cell r="BI25">
            <v>140248</v>
          </cell>
          <cell r="BJ25">
            <v>133011</v>
          </cell>
          <cell r="BK25">
            <v>7237</v>
          </cell>
          <cell r="BL25">
            <v>232149</v>
          </cell>
          <cell r="BM25">
            <v>163149</v>
          </cell>
          <cell r="BN25">
            <v>69000</v>
          </cell>
          <cell r="BO25">
            <v>36150</v>
          </cell>
          <cell r="BP25">
            <v>62443</v>
          </cell>
          <cell r="BQ25">
            <v>83059</v>
          </cell>
          <cell r="BR25">
            <v>19088</v>
          </cell>
          <cell r="BS25">
            <v>330378</v>
          </cell>
          <cell r="BT25">
            <v>42493</v>
          </cell>
          <cell r="BU25">
            <v>73528</v>
          </cell>
          <cell r="BV25">
            <v>200000</v>
          </cell>
          <cell r="BW25">
            <v>26600</v>
          </cell>
          <cell r="BX25">
            <v>10625</v>
          </cell>
          <cell r="BY25">
            <v>136574</v>
          </cell>
          <cell r="BZ25">
            <v>1880</v>
          </cell>
          <cell r="CA25">
            <v>129702</v>
          </cell>
          <cell r="CB25">
            <v>4992</v>
          </cell>
          <cell r="CC25">
            <v>34961</v>
          </cell>
          <cell r="CD25">
            <v>1300564</v>
          </cell>
          <cell r="CE25">
            <v>1230769</v>
          </cell>
          <cell r="CF25">
            <v>69795</v>
          </cell>
          <cell r="CG25">
            <v>108</v>
          </cell>
          <cell r="CH25">
            <v>14941</v>
          </cell>
          <cell r="CI25">
            <v>30552</v>
          </cell>
          <cell r="CJ25">
            <v>14564</v>
          </cell>
          <cell r="CK25">
            <v>65409</v>
          </cell>
          <cell r="CL25">
            <v>155397</v>
          </cell>
          <cell r="CM25">
            <v>41171</v>
          </cell>
          <cell r="CN25">
            <v>4520766</v>
          </cell>
          <cell r="CO25">
            <v>421821</v>
          </cell>
          <cell r="CP25">
            <v>398500</v>
          </cell>
          <cell r="CQ25">
            <v>8614</v>
          </cell>
          <cell r="CR25">
            <v>14707</v>
          </cell>
          <cell r="CS25">
            <v>21397</v>
          </cell>
          <cell r="CT25">
            <v>229605</v>
          </cell>
          <cell r="CU25">
            <v>87178</v>
          </cell>
          <cell r="CV25">
            <v>13414</v>
          </cell>
          <cell r="CW25">
            <v>25</v>
          </cell>
          <cell r="CX25">
            <v>10761</v>
          </cell>
          <cell r="CY25">
            <v>61323</v>
          </cell>
          <cell r="CZ25">
            <v>155149</v>
          </cell>
          <cell r="DA25">
            <v>70862</v>
          </cell>
        </row>
        <row r="26">
          <cell r="A26" t="str">
            <v>Utility average peak load</v>
          </cell>
          <cell r="B26" t="str">
            <v>PEAKA</v>
          </cell>
          <cell r="C26">
            <v>2004</v>
          </cell>
          <cell r="D26">
            <v>6066</v>
          </cell>
          <cell r="E26">
            <v>243518</v>
          </cell>
          <cell r="F26">
            <v>173820</v>
          </cell>
          <cell r="G26">
            <v>41600</v>
          </cell>
          <cell r="H26">
            <v>153245</v>
          </cell>
          <cell r="I26">
            <v>274618</v>
          </cell>
          <cell r="J26">
            <v>276185</v>
          </cell>
          <cell r="K26">
            <v>24429</v>
          </cell>
          <cell r="L26">
            <v>5119</v>
          </cell>
          <cell r="M26">
            <v>141017</v>
          </cell>
          <cell r="N26">
            <v>5203</v>
          </cell>
          <cell r="O26">
            <v>56690</v>
          </cell>
          <cell r="P26">
            <v>4894</v>
          </cell>
          <cell r="Q26">
            <v>1421</v>
          </cell>
          <cell r="R26">
            <v>14215</v>
          </cell>
          <cell r="S26">
            <v>34339</v>
          </cell>
          <cell r="T26">
            <v>1221577</v>
          </cell>
          <cell r="U26">
            <v>495</v>
          </cell>
          <cell r="V26">
            <v>62959</v>
          </cell>
          <cell r="W26">
            <v>10658</v>
          </cell>
          <cell r="X26">
            <v>93036</v>
          </cell>
          <cell r="Y26">
            <v>93103</v>
          </cell>
          <cell r="Z26">
            <v>45586</v>
          </cell>
          <cell r="AA26">
            <v>13637</v>
          </cell>
          <cell r="AB26">
            <v>1641</v>
          </cell>
          <cell r="AC26">
            <v>29385</v>
          </cell>
          <cell r="AD26">
            <v>146894</v>
          </cell>
          <cell r="AE26">
            <v>137521</v>
          </cell>
          <cell r="AF26">
            <v>9373</v>
          </cell>
          <cell r="AG26">
            <v>30897</v>
          </cell>
          <cell r="AH26">
            <v>238438</v>
          </cell>
          <cell r="AI26">
            <v>235516</v>
          </cell>
          <cell r="AJ26">
            <v>2922</v>
          </cell>
          <cell r="AK26">
            <v>61799</v>
          </cell>
          <cell r="AL26">
            <v>81183</v>
          </cell>
          <cell r="AM26">
            <v>18185</v>
          </cell>
          <cell r="AN26">
            <v>1044943.5</v>
          </cell>
          <cell r="AO26">
            <v>813298.5</v>
          </cell>
          <cell r="AP26">
            <v>231645</v>
          </cell>
          <cell r="AQ26">
            <v>4462</v>
          </cell>
          <cell r="AR26">
            <v>31984</v>
          </cell>
          <cell r="AS26">
            <v>560800</v>
          </cell>
          <cell r="AT26">
            <v>6690</v>
          </cell>
          <cell r="AU26">
            <v>3253</v>
          </cell>
          <cell r="AV26">
            <v>3437</v>
          </cell>
          <cell r="AW26">
            <v>1182432</v>
          </cell>
          <cell r="AX26">
            <v>39995</v>
          </cell>
          <cell r="AY26">
            <v>17544</v>
          </cell>
          <cell r="AZ26">
            <v>112201</v>
          </cell>
          <cell r="BA26">
            <v>309780</v>
          </cell>
          <cell r="BB26">
            <v>43176</v>
          </cell>
          <cell r="BC26">
            <v>34935</v>
          </cell>
          <cell r="BD26">
            <v>525337</v>
          </cell>
          <cell r="BE26">
            <v>33510</v>
          </cell>
          <cell r="BF26">
            <v>33583</v>
          </cell>
          <cell r="BG26">
            <v>93380</v>
          </cell>
          <cell r="BH26">
            <v>656</v>
          </cell>
          <cell r="BI26">
            <v>120976</v>
          </cell>
          <cell r="BJ26">
            <v>113601</v>
          </cell>
          <cell r="BK26">
            <v>7375</v>
          </cell>
          <cell r="BL26">
            <v>194888</v>
          </cell>
          <cell r="BM26">
            <v>134888</v>
          </cell>
          <cell r="BN26">
            <v>60000</v>
          </cell>
          <cell r="BO26">
            <v>29149</v>
          </cell>
          <cell r="BP26">
            <v>58317</v>
          </cell>
          <cell r="BQ26">
            <v>90195</v>
          </cell>
          <cell r="BR26">
            <v>21504</v>
          </cell>
          <cell r="BS26">
            <v>270811</v>
          </cell>
          <cell r="BT26">
            <v>38080</v>
          </cell>
          <cell r="BU26">
            <v>59320</v>
          </cell>
          <cell r="BV26">
            <v>188000</v>
          </cell>
          <cell r="BW26">
            <v>28653</v>
          </cell>
          <cell r="BX26">
            <v>13499</v>
          </cell>
          <cell r="BY26">
            <v>129383</v>
          </cell>
          <cell r="BZ26">
            <v>2157</v>
          </cell>
          <cell r="CA26">
            <v>121862</v>
          </cell>
          <cell r="CB26">
            <v>5364</v>
          </cell>
          <cell r="CC26">
            <v>31882</v>
          </cell>
          <cell r="CD26">
            <v>1076942</v>
          </cell>
          <cell r="CE26">
            <v>1013278</v>
          </cell>
          <cell r="CF26">
            <v>63664</v>
          </cell>
          <cell r="CG26">
            <v>114</v>
          </cell>
          <cell r="CH26">
            <v>15966</v>
          </cell>
          <cell r="CI26">
            <v>21972</v>
          </cell>
          <cell r="CJ26">
            <v>15767</v>
          </cell>
          <cell r="CK26">
            <v>57387</v>
          </cell>
          <cell r="CL26">
            <v>161420</v>
          </cell>
          <cell r="CM26">
            <v>37397</v>
          </cell>
          <cell r="CN26">
            <v>4042889</v>
          </cell>
          <cell r="CO26">
            <v>393912</v>
          </cell>
          <cell r="CP26">
            <v>370300</v>
          </cell>
          <cell r="CQ26">
            <v>8206</v>
          </cell>
          <cell r="CR26">
            <v>15406</v>
          </cell>
          <cell r="CS26">
            <v>17643</v>
          </cell>
          <cell r="CT26">
            <v>208987</v>
          </cell>
          <cell r="CU26">
            <v>79728</v>
          </cell>
          <cell r="CV26">
            <v>13916</v>
          </cell>
          <cell r="CW26">
            <v>24</v>
          </cell>
          <cell r="CX26">
            <v>10299</v>
          </cell>
          <cell r="CY26">
            <v>71394</v>
          </cell>
          <cell r="CZ26">
            <v>132481</v>
          </cell>
          <cell r="DA26">
            <v>64500</v>
          </cell>
        </row>
        <row r="27">
          <cell r="A27" t="str">
            <v>Total circuit kms of line</v>
          </cell>
          <cell r="B27" t="str">
            <v>KMC</v>
          </cell>
          <cell r="C27">
            <v>2004</v>
          </cell>
          <cell r="D27">
            <v>92.5</v>
          </cell>
          <cell r="E27">
            <v>1517</v>
          </cell>
          <cell r="F27">
            <v>783.5</v>
          </cell>
          <cell r="G27">
            <v>432</v>
          </cell>
          <cell r="H27">
            <v>446</v>
          </cell>
          <cell r="I27">
            <v>1383</v>
          </cell>
          <cell r="J27">
            <v>1082</v>
          </cell>
          <cell r="K27">
            <v>140.30000000000001</v>
          </cell>
          <cell r="L27">
            <v>27.5</v>
          </cell>
          <cell r="M27">
            <v>745</v>
          </cell>
          <cell r="N27">
            <v>21</v>
          </cell>
          <cell r="O27">
            <v>320</v>
          </cell>
          <cell r="P27">
            <v>28.1</v>
          </cell>
          <cell r="Q27">
            <v>7.6</v>
          </cell>
          <cell r="R27">
            <v>142</v>
          </cell>
          <cell r="S27">
            <v>136.1</v>
          </cell>
          <cell r="T27">
            <v>4972</v>
          </cell>
          <cell r="U27">
            <v>1184</v>
          </cell>
          <cell r="V27">
            <v>258</v>
          </cell>
          <cell r="W27">
            <v>136.19999999999999</v>
          </cell>
          <cell r="X27">
            <v>462.9</v>
          </cell>
          <cell r="Y27">
            <v>274.89999999999998</v>
          </cell>
          <cell r="Z27">
            <v>487.6</v>
          </cell>
          <cell r="AA27">
            <v>84.6</v>
          </cell>
          <cell r="AB27">
            <v>8.1</v>
          </cell>
          <cell r="AC27">
            <v>1832.5</v>
          </cell>
          <cell r="AD27">
            <v>870.6</v>
          </cell>
          <cell r="AE27">
            <v>833.6</v>
          </cell>
          <cell r="AF27">
            <v>37</v>
          </cell>
          <cell r="AG27">
            <v>233.4</v>
          </cell>
          <cell r="AH27">
            <v>948.4</v>
          </cell>
          <cell r="AI27">
            <v>916</v>
          </cell>
          <cell r="AJ27">
            <v>32.4</v>
          </cell>
          <cell r="AK27">
            <v>1649</v>
          </cell>
          <cell r="AL27">
            <v>1301.0999999999999</v>
          </cell>
          <cell r="AM27">
            <v>68.400000000000006</v>
          </cell>
          <cell r="AN27">
            <v>3203</v>
          </cell>
          <cell r="AO27">
            <v>2481</v>
          </cell>
          <cell r="AP27">
            <v>722</v>
          </cell>
          <cell r="AQ27">
            <v>22.8</v>
          </cell>
          <cell r="AR27">
            <v>65.400000000000006</v>
          </cell>
          <cell r="AS27">
            <v>2384</v>
          </cell>
          <cell r="AT27">
            <v>119060.4</v>
          </cell>
          <cell r="AU27">
            <v>119040</v>
          </cell>
          <cell r="AV27">
            <v>20.399999999999999</v>
          </cell>
          <cell r="AW27">
            <v>5040</v>
          </cell>
          <cell r="AX27">
            <v>596</v>
          </cell>
          <cell r="AY27">
            <v>98</v>
          </cell>
          <cell r="AZ27">
            <v>347.9</v>
          </cell>
          <cell r="BA27">
            <v>1758</v>
          </cell>
          <cell r="BB27">
            <v>100</v>
          </cell>
          <cell r="BC27">
            <v>659</v>
          </cell>
          <cell r="BD27">
            <v>2498</v>
          </cell>
          <cell r="BE27">
            <v>108</v>
          </cell>
          <cell r="BF27">
            <v>112</v>
          </cell>
          <cell r="BG27">
            <v>730</v>
          </cell>
          <cell r="BH27">
            <v>4</v>
          </cell>
          <cell r="BI27">
            <v>984.8</v>
          </cell>
          <cell r="BJ27">
            <v>627.5</v>
          </cell>
          <cell r="BK27">
            <v>357.3</v>
          </cell>
          <cell r="BL27">
            <v>2091</v>
          </cell>
          <cell r="BM27">
            <v>791</v>
          </cell>
          <cell r="BN27">
            <v>1300</v>
          </cell>
          <cell r="BO27">
            <v>327</v>
          </cell>
          <cell r="BP27">
            <v>770</v>
          </cell>
          <cell r="BQ27">
            <v>560</v>
          </cell>
          <cell r="BR27">
            <v>370</v>
          </cell>
          <cell r="BS27">
            <v>1316</v>
          </cell>
          <cell r="BT27">
            <v>236</v>
          </cell>
          <cell r="BU27">
            <v>297.7</v>
          </cell>
          <cell r="BV27">
            <v>1731</v>
          </cell>
          <cell r="BW27">
            <v>147.4</v>
          </cell>
          <cell r="BX27">
            <v>128</v>
          </cell>
          <cell r="BY27">
            <v>533.79999999999995</v>
          </cell>
          <cell r="BZ27">
            <v>11.8</v>
          </cell>
          <cell r="CA27">
            <v>494</v>
          </cell>
          <cell r="CB27">
            <v>28</v>
          </cell>
          <cell r="CC27">
            <v>271</v>
          </cell>
          <cell r="CD27">
            <v>5751.2</v>
          </cell>
          <cell r="CE27">
            <v>5379</v>
          </cell>
          <cell r="CF27">
            <v>372.2</v>
          </cell>
          <cell r="CG27">
            <v>711</v>
          </cell>
          <cell r="CH27">
            <v>70</v>
          </cell>
          <cell r="CI27">
            <v>86</v>
          </cell>
          <cell r="CJ27">
            <v>212</v>
          </cell>
          <cell r="CK27">
            <v>233</v>
          </cell>
          <cell r="CL27">
            <v>1338.1</v>
          </cell>
          <cell r="CM27">
            <v>231</v>
          </cell>
          <cell r="CN27">
            <v>16869</v>
          </cell>
          <cell r="CO27">
            <v>1789</v>
          </cell>
          <cell r="CP27">
            <v>1510</v>
          </cell>
          <cell r="CQ27">
            <v>32.799999999999997</v>
          </cell>
          <cell r="CR27">
            <v>246.2</v>
          </cell>
          <cell r="CS27">
            <v>208</v>
          </cell>
          <cell r="CT27">
            <v>1324.2</v>
          </cell>
          <cell r="CU27">
            <v>417.7</v>
          </cell>
          <cell r="CV27">
            <v>122</v>
          </cell>
          <cell r="CW27">
            <v>65.2</v>
          </cell>
          <cell r="CX27">
            <v>32.6</v>
          </cell>
          <cell r="CY27">
            <v>443.2</v>
          </cell>
          <cell r="CZ27">
            <v>956</v>
          </cell>
          <cell r="DA27">
            <v>247.7</v>
          </cell>
        </row>
        <row r="28">
          <cell r="A28" t="str">
            <v>Overhead circuit kms of line</v>
          </cell>
          <cell r="B28" t="str">
            <v>KMCO</v>
          </cell>
          <cell r="C28">
            <v>2004</v>
          </cell>
          <cell r="D28">
            <v>92</v>
          </cell>
          <cell r="E28">
            <v>690</v>
          </cell>
          <cell r="F28">
            <v>606.9</v>
          </cell>
          <cell r="G28">
            <v>405</v>
          </cell>
          <cell r="H28">
            <v>255</v>
          </cell>
          <cell r="I28">
            <v>818</v>
          </cell>
          <cell r="J28">
            <v>727</v>
          </cell>
          <cell r="K28">
            <v>77</v>
          </cell>
          <cell r="L28">
            <v>26</v>
          </cell>
          <cell r="M28">
            <v>525</v>
          </cell>
          <cell r="N28">
            <v>17</v>
          </cell>
          <cell r="O28">
            <v>220</v>
          </cell>
          <cell r="P28">
            <v>15.5</v>
          </cell>
          <cell r="Q28">
            <v>6.4</v>
          </cell>
          <cell r="R28">
            <v>137</v>
          </cell>
          <cell r="S28">
            <v>87.8</v>
          </cell>
          <cell r="T28">
            <v>1696</v>
          </cell>
          <cell r="U28">
            <v>813</v>
          </cell>
          <cell r="V28">
            <v>202.9</v>
          </cell>
          <cell r="W28">
            <v>125.6</v>
          </cell>
          <cell r="X28">
            <v>235.3</v>
          </cell>
          <cell r="Y28">
            <v>184.8</v>
          </cell>
          <cell r="Z28">
            <v>20.399999999999999</v>
          </cell>
          <cell r="AA28">
            <v>76.599999999999994</v>
          </cell>
          <cell r="AB28">
            <v>6.3</v>
          </cell>
          <cell r="AC28">
            <v>1831.4</v>
          </cell>
          <cell r="AD28">
            <v>695.6</v>
          </cell>
          <cell r="AE28">
            <v>660.6</v>
          </cell>
          <cell r="AF28">
            <v>35</v>
          </cell>
          <cell r="AG28">
            <v>177.2</v>
          </cell>
          <cell r="AH28">
            <v>411.8</v>
          </cell>
          <cell r="AI28">
            <v>401</v>
          </cell>
          <cell r="AJ28">
            <v>10.8</v>
          </cell>
          <cell r="AK28">
            <v>1570</v>
          </cell>
          <cell r="AL28">
            <v>871.7</v>
          </cell>
          <cell r="AM28">
            <v>57.4</v>
          </cell>
          <cell r="AN28">
            <v>1609</v>
          </cell>
          <cell r="AO28">
            <v>1097</v>
          </cell>
          <cell r="AP28">
            <v>512</v>
          </cell>
          <cell r="AQ28">
            <v>20.3</v>
          </cell>
          <cell r="AR28">
            <v>56.6</v>
          </cell>
          <cell r="AS28">
            <v>734</v>
          </cell>
          <cell r="AT28">
            <v>114860</v>
          </cell>
          <cell r="AU28">
            <v>114840</v>
          </cell>
          <cell r="AV28">
            <v>20</v>
          </cell>
          <cell r="AW28">
            <v>3190</v>
          </cell>
          <cell r="AX28">
            <v>493</v>
          </cell>
          <cell r="AY28">
            <v>88</v>
          </cell>
          <cell r="AZ28">
            <v>241.6</v>
          </cell>
          <cell r="BA28">
            <v>981</v>
          </cell>
          <cell r="BB28">
            <v>93</v>
          </cell>
          <cell r="BC28">
            <v>580</v>
          </cell>
          <cell r="BD28">
            <v>1256</v>
          </cell>
          <cell r="BE28">
            <v>85</v>
          </cell>
          <cell r="BF28">
            <v>78</v>
          </cell>
          <cell r="BG28">
            <v>524</v>
          </cell>
          <cell r="BH28">
            <v>2</v>
          </cell>
          <cell r="BI28">
            <v>577.5</v>
          </cell>
          <cell r="BJ28">
            <v>234.8</v>
          </cell>
          <cell r="BK28">
            <v>342.7</v>
          </cell>
          <cell r="BL28">
            <v>1566</v>
          </cell>
          <cell r="BM28">
            <v>466</v>
          </cell>
          <cell r="BN28">
            <v>1100</v>
          </cell>
          <cell r="BO28">
            <v>252</v>
          </cell>
          <cell r="BP28">
            <v>693</v>
          </cell>
          <cell r="BQ28">
            <v>500</v>
          </cell>
          <cell r="BR28">
            <v>365</v>
          </cell>
          <cell r="BS28">
            <v>530</v>
          </cell>
          <cell r="BT28">
            <v>149</v>
          </cell>
          <cell r="BU28">
            <v>245</v>
          </cell>
          <cell r="BV28">
            <v>892</v>
          </cell>
          <cell r="BW28">
            <v>127.5</v>
          </cell>
          <cell r="BX28">
            <v>117</v>
          </cell>
          <cell r="BY28">
            <v>380.7</v>
          </cell>
          <cell r="BZ28">
            <v>11.8</v>
          </cell>
          <cell r="CA28">
            <v>348</v>
          </cell>
          <cell r="CB28">
            <v>20.9</v>
          </cell>
          <cell r="CC28">
            <v>262.60000000000002</v>
          </cell>
          <cell r="CD28">
            <v>1915.2</v>
          </cell>
          <cell r="CE28">
            <v>1775</v>
          </cell>
          <cell r="CF28">
            <v>140.19999999999999</v>
          </cell>
          <cell r="CG28">
            <v>605</v>
          </cell>
          <cell r="CH28">
            <v>68</v>
          </cell>
          <cell r="CI28">
            <v>76.5</v>
          </cell>
          <cell r="CJ28">
            <v>205.5</v>
          </cell>
          <cell r="CK28">
            <v>175</v>
          </cell>
          <cell r="CL28">
            <v>886.1</v>
          </cell>
          <cell r="CM28">
            <v>135.1</v>
          </cell>
          <cell r="CN28">
            <v>9136</v>
          </cell>
          <cell r="CO28">
            <v>1256.5999999999999</v>
          </cell>
          <cell r="CP28">
            <v>1023</v>
          </cell>
          <cell r="CQ28">
            <v>20.7</v>
          </cell>
          <cell r="CR28">
            <v>212.9</v>
          </cell>
          <cell r="CS28">
            <v>120.8</v>
          </cell>
          <cell r="CT28">
            <v>934.5</v>
          </cell>
          <cell r="CU28">
            <v>323.89999999999998</v>
          </cell>
          <cell r="CV28">
            <v>114</v>
          </cell>
          <cell r="CW28">
            <v>53.2</v>
          </cell>
          <cell r="CX28">
            <v>25.6</v>
          </cell>
          <cell r="CY28">
            <v>334.7</v>
          </cell>
          <cell r="CZ28">
            <v>472.1</v>
          </cell>
          <cell r="DA28">
            <v>148.6</v>
          </cell>
        </row>
        <row r="29">
          <cell r="A29" t="str">
            <v>Underground circuit kms ofline</v>
          </cell>
          <cell r="B29" t="str">
            <v>KMCU</v>
          </cell>
          <cell r="C29">
            <v>2004</v>
          </cell>
          <cell r="D29">
            <v>0.5</v>
          </cell>
          <cell r="E29">
            <v>827</v>
          </cell>
          <cell r="F29">
            <v>176.6</v>
          </cell>
          <cell r="G29">
            <v>27</v>
          </cell>
          <cell r="H29">
            <v>191</v>
          </cell>
          <cell r="I29">
            <v>565</v>
          </cell>
          <cell r="J29">
            <v>355</v>
          </cell>
          <cell r="K29">
            <v>63.3</v>
          </cell>
          <cell r="L29">
            <v>1.5</v>
          </cell>
          <cell r="M29">
            <v>220</v>
          </cell>
          <cell r="N29">
            <v>4</v>
          </cell>
          <cell r="O29">
            <v>100</v>
          </cell>
          <cell r="P29">
            <v>12.6</v>
          </cell>
          <cell r="Q29">
            <v>1.2</v>
          </cell>
          <cell r="R29">
            <v>5</v>
          </cell>
          <cell r="S29">
            <v>48.3</v>
          </cell>
          <cell r="T29">
            <v>3276</v>
          </cell>
          <cell r="U29">
            <v>371</v>
          </cell>
          <cell r="V29">
            <v>55.1</v>
          </cell>
          <cell r="W29">
            <v>10.6</v>
          </cell>
          <cell r="X29">
            <v>227.6</v>
          </cell>
          <cell r="Y29">
            <v>90.1</v>
          </cell>
          <cell r="Z29">
            <v>467.2</v>
          </cell>
          <cell r="AA29">
            <v>8</v>
          </cell>
          <cell r="AB29">
            <v>1.8</v>
          </cell>
          <cell r="AC29">
            <v>1.1000000000000001</v>
          </cell>
          <cell r="AD29">
            <v>175</v>
          </cell>
          <cell r="AE29">
            <v>173</v>
          </cell>
          <cell r="AF29">
            <v>2</v>
          </cell>
          <cell r="AG29">
            <v>56.2</v>
          </cell>
          <cell r="AH29">
            <v>536.6</v>
          </cell>
          <cell r="AI29">
            <v>515</v>
          </cell>
          <cell r="AJ29">
            <v>21.6</v>
          </cell>
          <cell r="AK29">
            <v>79</v>
          </cell>
          <cell r="AL29">
            <v>429.4</v>
          </cell>
          <cell r="AM29">
            <v>11</v>
          </cell>
          <cell r="AN29">
            <v>1594</v>
          </cell>
          <cell r="AO29">
            <v>1384</v>
          </cell>
          <cell r="AP29">
            <v>210</v>
          </cell>
          <cell r="AQ29">
            <v>2.5</v>
          </cell>
          <cell r="AR29">
            <v>8.8000000000000007</v>
          </cell>
          <cell r="AS29">
            <v>1650</v>
          </cell>
          <cell r="AT29">
            <v>4200.3999999999996</v>
          </cell>
          <cell r="AU29">
            <v>4200</v>
          </cell>
          <cell r="AV29">
            <v>0.4</v>
          </cell>
          <cell r="AW29">
            <v>1850</v>
          </cell>
          <cell r="AX29">
            <v>103</v>
          </cell>
          <cell r="AY29">
            <v>10</v>
          </cell>
          <cell r="AZ29">
            <v>106.3</v>
          </cell>
          <cell r="BA29">
            <v>777</v>
          </cell>
          <cell r="BB29">
            <v>7</v>
          </cell>
          <cell r="BC29">
            <v>79</v>
          </cell>
          <cell r="BD29">
            <v>1242</v>
          </cell>
          <cell r="BE29">
            <v>23</v>
          </cell>
          <cell r="BF29">
            <v>34</v>
          </cell>
          <cell r="BG29">
            <v>206</v>
          </cell>
          <cell r="BH29">
            <v>2</v>
          </cell>
          <cell r="BI29">
            <v>407.3</v>
          </cell>
          <cell r="BJ29">
            <v>392.7</v>
          </cell>
          <cell r="BK29">
            <v>14.6</v>
          </cell>
          <cell r="BL29">
            <v>525</v>
          </cell>
          <cell r="BM29">
            <v>325</v>
          </cell>
          <cell r="BN29">
            <v>200</v>
          </cell>
          <cell r="BO29">
            <v>75</v>
          </cell>
          <cell r="BP29">
            <v>77</v>
          </cell>
          <cell r="BQ29">
            <v>60</v>
          </cell>
          <cell r="BR29">
            <v>5</v>
          </cell>
          <cell r="BS29">
            <v>786</v>
          </cell>
          <cell r="BT29">
            <v>87</v>
          </cell>
          <cell r="BU29">
            <v>52.7</v>
          </cell>
          <cell r="BV29">
            <v>839</v>
          </cell>
          <cell r="BW29">
            <v>19.899999999999999</v>
          </cell>
          <cell r="BX29">
            <v>11</v>
          </cell>
          <cell r="BY29">
            <v>153.1</v>
          </cell>
          <cell r="BZ29">
            <v>0</v>
          </cell>
          <cell r="CA29">
            <v>146</v>
          </cell>
          <cell r="CB29">
            <v>7.1</v>
          </cell>
          <cell r="CC29">
            <v>8.4</v>
          </cell>
          <cell r="CD29">
            <v>3836</v>
          </cell>
          <cell r="CE29">
            <v>3604</v>
          </cell>
          <cell r="CF29">
            <v>232</v>
          </cell>
          <cell r="CG29">
            <v>106</v>
          </cell>
          <cell r="CH29">
            <v>2</v>
          </cell>
          <cell r="CI29">
            <v>9.5</v>
          </cell>
          <cell r="CJ29">
            <v>6.5</v>
          </cell>
          <cell r="CK29">
            <v>58</v>
          </cell>
          <cell r="CL29">
            <v>452</v>
          </cell>
          <cell r="CM29">
            <v>95.9</v>
          </cell>
          <cell r="CN29">
            <v>7733</v>
          </cell>
          <cell r="CO29">
            <v>532.4</v>
          </cell>
          <cell r="CP29">
            <v>487</v>
          </cell>
          <cell r="CQ29">
            <v>12.1</v>
          </cell>
          <cell r="CR29">
            <v>33.299999999999997</v>
          </cell>
          <cell r="CS29">
            <v>87.2</v>
          </cell>
          <cell r="CT29">
            <v>389.7</v>
          </cell>
          <cell r="CU29">
            <v>93.8</v>
          </cell>
          <cell r="CV29">
            <v>8</v>
          </cell>
          <cell r="CW29">
            <v>12</v>
          </cell>
          <cell r="CX29">
            <v>7</v>
          </cell>
          <cell r="CY29">
            <v>108.5</v>
          </cell>
          <cell r="CZ29">
            <v>483.9</v>
          </cell>
          <cell r="DA29">
            <v>99.1</v>
          </cell>
        </row>
        <row r="30">
          <cell r="A30" t="str">
            <v>Circuit kilometers 3 phase</v>
          </cell>
          <cell r="B30" t="str">
            <v>KMC3</v>
          </cell>
          <cell r="C30">
            <v>2004</v>
          </cell>
          <cell r="D30">
            <v>47</v>
          </cell>
          <cell r="E30">
            <v>740</v>
          </cell>
          <cell r="F30">
            <v>448.1</v>
          </cell>
          <cell r="G30">
            <v>202</v>
          </cell>
          <cell r="H30">
            <v>211</v>
          </cell>
          <cell r="I30">
            <v>673.8</v>
          </cell>
          <cell r="J30">
            <v>458.2</v>
          </cell>
          <cell r="K30">
            <v>68</v>
          </cell>
          <cell r="L30">
            <v>15.9</v>
          </cell>
          <cell r="M30">
            <v>467</v>
          </cell>
          <cell r="N30">
            <v>10</v>
          </cell>
          <cell r="O30">
            <v>100</v>
          </cell>
          <cell r="P30">
            <v>12.7</v>
          </cell>
          <cell r="Q30">
            <v>5.2</v>
          </cell>
          <cell r="R30">
            <v>0</v>
          </cell>
          <cell r="S30">
            <v>65.900000000000006</v>
          </cell>
          <cell r="T30">
            <v>3005</v>
          </cell>
          <cell r="U30">
            <v>684</v>
          </cell>
          <cell r="V30">
            <v>145</v>
          </cell>
          <cell r="W30">
            <v>30.8</v>
          </cell>
          <cell r="X30">
            <v>166</v>
          </cell>
          <cell r="Y30">
            <v>145.9</v>
          </cell>
          <cell r="Z30">
            <v>0</v>
          </cell>
          <cell r="AA30">
            <v>48.5</v>
          </cell>
          <cell r="AB30">
            <v>3.5</v>
          </cell>
          <cell r="AC30">
            <v>0</v>
          </cell>
          <cell r="AD30">
            <v>20.399999999999999</v>
          </cell>
          <cell r="AE30">
            <v>0</v>
          </cell>
          <cell r="AF30">
            <v>20.399999999999999</v>
          </cell>
          <cell r="AG30">
            <v>107.7</v>
          </cell>
          <cell r="AH30">
            <v>432.9</v>
          </cell>
          <cell r="AI30">
            <v>426</v>
          </cell>
          <cell r="AJ30">
            <v>6.9</v>
          </cell>
          <cell r="AK30">
            <v>599</v>
          </cell>
          <cell r="AL30">
            <v>388.3</v>
          </cell>
          <cell r="AM30">
            <v>27.3</v>
          </cell>
          <cell r="AN30">
            <v>1867</v>
          </cell>
          <cell r="AO30">
            <v>1517</v>
          </cell>
          <cell r="AP30">
            <v>350</v>
          </cell>
          <cell r="AQ30">
            <v>8</v>
          </cell>
          <cell r="AR30">
            <v>42.8</v>
          </cell>
          <cell r="AS30">
            <v>1014.8</v>
          </cell>
          <cell r="AT30">
            <v>44929</v>
          </cell>
          <cell r="AU30">
            <v>44920</v>
          </cell>
          <cell r="AV30">
            <v>9</v>
          </cell>
          <cell r="AW30">
            <v>2680</v>
          </cell>
          <cell r="AX30">
            <v>291</v>
          </cell>
          <cell r="AY30">
            <v>61</v>
          </cell>
          <cell r="AZ30">
            <v>251</v>
          </cell>
          <cell r="BA30">
            <v>755</v>
          </cell>
          <cell r="BB30">
            <v>58</v>
          </cell>
          <cell r="BC30">
            <v>159</v>
          </cell>
          <cell r="BD30">
            <v>1160</v>
          </cell>
          <cell r="BE30">
            <v>64.5</v>
          </cell>
          <cell r="BF30">
            <v>75</v>
          </cell>
          <cell r="BG30">
            <v>380</v>
          </cell>
          <cell r="BH30">
            <v>1</v>
          </cell>
          <cell r="BI30">
            <v>292.10000000000002</v>
          </cell>
          <cell r="BJ30">
            <v>260.8</v>
          </cell>
          <cell r="BK30">
            <v>31.3</v>
          </cell>
          <cell r="BL30">
            <v>861</v>
          </cell>
          <cell r="BM30">
            <v>411</v>
          </cell>
          <cell r="BN30">
            <v>450</v>
          </cell>
          <cell r="BO30">
            <v>174</v>
          </cell>
          <cell r="BP30">
            <v>388</v>
          </cell>
          <cell r="BQ30">
            <v>373</v>
          </cell>
          <cell r="BR30">
            <v>200</v>
          </cell>
          <cell r="BS30">
            <v>698</v>
          </cell>
          <cell r="BT30">
            <v>62</v>
          </cell>
          <cell r="BU30">
            <v>217.9</v>
          </cell>
          <cell r="BV30">
            <v>359.6</v>
          </cell>
          <cell r="BW30">
            <v>94.1</v>
          </cell>
          <cell r="BX30">
            <v>84</v>
          </cell>
          <cell r="BY30">
            <v>347.1</v>
          </cell>
          <cell r="BZ30">
            <v>7.7</v>
          </cell>
          <cell r="CA30">
            <v>320</v>
          </cell>
          <cell r="CB30">
            <v>19.399999999999999</v>
          </cell>
          <cell r="CC30">
            <v>177.5</v>
          </cell>
          <cell r="CD30">
            <v>2620.6</v>
          </cell>
          <cell r="CE30">
            <v>2473</v>
          </cell>
          <cell r="CF30">
            <v>147.6</v>
          </cell>
          <cell r="CG30">
            <v>446</v>
          </cell>
          <cell r="CH30">
            <v>49</v>
          </cell>
          <cell r="CI30">
            <v>43</v>
          </cell>
          <cell r="CJ30">
            <v>72.099999999999994</v>
          </cell>
          <cell r="CK30">
            <v>158</v>
          </cell>
          <cell r="CL30">
            <v>754</v>
          </cell>
          <cell r="CM30">
            <v>39.200000000000003</v>
          </cell>
          <cell r="CN30">
            <v>0</v>
          </cell>
          <cell r="CO30">
            <v>908</v>
          </cell>
          <cell r="CP30">
            <v>819</v>
          </cell>
          <cell r="CQ30">
            <v>17.2</v>
          </cell>
          <cell r="CR30">
            <v>71.8</v>
          </cell>
          <cell r="CS30">
            <v>87.8</v>
          </cell>
          <cell r="CT30">
            <v>880.1</v>
          </cell>
          <cell r="CU30">
            <v>268.8</v>
          </cell>
          <cell r="CV30">
            <v>86</v>
          </cell>
          <cell r="CW30">
            <v>45.4</v>
          </cell>
          <cell r="CX30">
            <v>19.3</v>
          </cell>
          <cell r="CY30">
            <v>261.39999999999998</v>
          </cell>
          <cell r="CZ30">
            <v>431.1</v>
          </cell>
          <cell r="DA30">
            <v>141.4</v>
          </cell>
        </row>
        <row r="31">
          <cell r="A31" t="str">
            <v>Circuit kilometers 2 phase</v>
          </cell>
          <cell r="B31" t="str">
            <v>KMC2</v>
          </cell>
          <cell r="C31">
            <v>2004</v>
          </cell>
          <cell r="D31">
            <v>0</v>
          </cell>
          <cell r="E31">
            <v>0</v>
          </cell>
          <cell r="F31">
            <v>5.3</v>
          </cell>
          <cell r="G31">
            <v>19</v>
          </cell>
          <cell r="H31">
            <v>0</v>
          </cell>
          <cell r="I31">
            <v>0</v>
          </cell>
          <cell r="J31">
            <v>2</v>
          </cell>
          <cell r="K31">
            <v>0</v>
          </cell>
          <cell r="L31">
            <v>2.2000000000000002</v>
          </cell>
          <cell r="M31">
            <v>2.2999999999999998</v>
          </cell>
          <cell r="N31">
            <v>1</v>
          </cell>
          <cell r="O31">
            <v>0</v>
          </cell>
          <cell r="P31">
            <v>1.4</v>
          </cell>
          <cell r="Q31">
            <v>0</v>
          </cell>
          <cell r="R31">
            <v>0</v>
          </cell>
          <cell r="S31">
            <v>1.4</v>
          </cell>
          <cell r="T31">
            <v>93</v>
          </cell>
          <cell r="U31">
            <v>28.9</v>
          </cell>
          <cell r="V31">
            <v>5</v>
          </cell>
          <cell r="W31">
            <v>0.7</v>
          </cell>
          <cell r="X31">
            <v>0.1</v>
          </cell>
          <cell r="Y31">
            <v>5.7</v>
          </cell>
          <cell r="Z31">
            <v>0</v>
          </cell>
          <cell r="AA31">
            <v>8.8000000000000007</v>
          </cell>
          <cell r="AB31">
            <v>0.2</v>
          </cell>
          <cell r="AC31">
            <v>0</v>
          </cell>
          <cell r="AD31">
            <v>0</v>
          </cell>
          <cell r="AE31">
            <v>0</v>
          </cell>
          <cell r="AF31">
            <v>0</v>
          </cell>
          <cell r="AG31">
            <v>0.4</v>
          </cell>
          <cell r="AH31">
            <v>0</v>
          </cell>
          <cell r="AI31">
            <v>0</v>
          </cell>
          <cell r="AJ31">
            <v>0</v>
          </cell>
          <cell r="AK31">
            <v>59</v>
          </cell>
          <cell r="AL31">
            <v>0</v>
          </cell>
          <cell r="AM31">
            <v>0</v>
          </cell>
          <cell r="AN31">
            <v>79.5</v>
          </cell>
          <cell r="AO31">
            <v>79</v>
          </cell>
          <cell r="AP31">
            <v>0.5</v>
          </cell>
          <cell r="AQ31">
            <v>4</v>
          </cell>
          <cell r="AR31">
            <v>0</v>
          </cell>
          <cell r="AS31">
            <v>20.5</v>
          </cell>
          <cell r="AT31">
            <v>3560</v>
          </cell>
          <cell r="AU31">
            <v>3560</v>
          </cell>
          <cell r="AV31">
            <v>0</v>
          </cell>
          <cell r="AW31">
            <v>220</v>
          </cell>
          <cell r="AX31">
            <v>4</v>
          </cell>
          <cell r="AY31">
            <v>0</v>
          </cell>
          <cell r="AZ31">
            <v>0</v>
          </cell>
          <cell r="BA31">
            <v>0</v>
          </cell>
          <cell r="BB31">
            <v>0</v>
          </cell>
          <cell r="BC31">
            <v>34</v>
          </cell>
          <cell r="BD31">
            <v>0</v>
          </cell>
          <cell r="BE31">
            <v>0</v>
          </cell>
          <cell r="BF31">
            <v>0</v>
          </cell>
          <cell r="BG31">
            <v>26</v>
          </cell>
          <cell r="BH31">
            <v>0</v>
          </cell>
          <cell r="BI31">
            <v>7.1</v>
          </cell>
          <cell r="BJ31">
            <v>0</v>
          </cell>
          <cell r="BK31">
            <v>7.1</v>
          </cell>
          <cell r="BL31">
            <v>2</v>
          </cell>
          <cell r="BM31">
            <v>2</v>
          </cell>
          <cell r="BN31">
            <v>0</v>
          </cell>
          <cell r="BO31">
            <v>6</v>
          </cell>
          <cell r="BP31">
            <v>0</v>
          </cell>
          <cell r="BQ31">
            <v>7</v>
          </cell>
          <cell r="BR31">
            <v>0</v>
          </cell>
          <cell r="BS31">
            <v>0</v>
          </cell>
          <cell r="BT31">
            <v>83</v>
          </cell>
          <cell r="BU31">
            <v>5.7</v>
          </cell>
          <cell r="BV31">
            <v>0</v>
          </cell>
          <cell r="BW31">
            <v>1.5</v>
          </cell>
          <cell r="BX31">
            <v>0</v>
          </cell>
          <cell r="BY31">
            <v>8.1</v>
          </cell>
          <cell r="BZ31">
            <v>0</v>
          </cell>
          <cell r="CA31">
            <v>7</v>
          </cell>
          <cell r="CB31">
            <v>1.1000000000000001</v>
          </cell>
          <cell r="CC31">
            <v>0</v>
          </cell>
          <cell r="CD31">
            <v>51</v>
          </cell>
          <cell r="CE31">
            <v>51</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6.8</v>
          </cell>
          <cell r="CT31">
            <v>39.6</v>
          </cell>
          <cell r="CU31">
            <v>210</v>
          </cell>
          <cell r="CV31">
            <v>0</v>
          </cell>
          <cell r="CW31">
            <v>0</v>
          </cell>
          <cell r="CX31">
            <v>0</v>
          </cell>
          <cell r="CY31">
            <v>1.1000000000000001</v>
          </cell>
          <cell r="CZ31">
            <v>8.1999999999999993</v>
          </cell>
          <cell r="DA31">
            <v>0</v>
          </cell>
        </row>
        <row r="32">
          <cell r="A32" t="str">
            <v>Circuit kms single phase</v>
          </cell>
          <cell r="B32" t="str">
            <v>KMC1</v>
          </cell>
          <cell r="C32">
            <v>2004</v>
          </cell>
          <cell r="D32">
            <v>45.5</v>
          </cell>
          <cell r="E32">
            <v>777</v>
          </cell>
          <cell r="F32">
            <v>330.1</v>
          </cell>
          <cell r="G32">
            <v>211</v>
          </cell>
          <cell r="H32">
            <v>237</v>
          </cell>
          <cell r="I32">
            <v>709</v>
          </cell>
          <cell r="J32">
            <v>618.79999999999995</v>
          </cell>
          <cell r="K32">
            <v>72.3</v>
          </cell>
          <cell r="L32">
            <v>9.4</v>
          </cell>
          <cell r="M32">
            <v>276</v>
          </cell>
          <cell r="N32">
            <v>10</v>
          </cell>
          <cell r="O32">
            <v>220</v>
          </cell>
          <cell r="P32">
            <v>14</v>
          </cell>
          <cell r="Q32">
            <v>2.4</v>
          </cell>
          <cell r="R32">
            <v>0</v>
          </cell>
          <cell r="S32">
            <v>118.4</v>
          </cell>
          <cell r="T32">
            <v>1874</v>
          </cell>
          <cell r="U32">
            <v>470.8</v>
          </cell>
          <cell r="V32">
            <v>106</v>
          </cell>
          <cell r="W32">
            <v>104.7</v>
          </cell>
          <cell r="X32">
            <v>296.8</v>
          </cell>
          <cell r="Y32">
            <v>123.3</v>
          </cell>
          <cell r="Z32">
            <v>0</v>
          </cell>
          <cell r="AA32">
            <v>27.3</v>
          </cell>
          <cell r="AB32">
            <v>2.5</v>
          </cell>
          <cell r="AC32">
            <v>0</v>
          </cell>
          <cell r="AD32">
            <v>16.600000000000001</v>
          </cell>
          <cell r="AE32">
            <v>0</v>
          </cell>
          <cell r="AF32">
            <v>16.600000000000001</v>
          </cell>
          <cell r="AG32">
            <v>125.3</v>
          </cell>
          <cell r="AH32">
            <v>515.5</v>
          </cell>
          <cell r="AI32">
            <v>490</v>
          </cell>
          <cell r="AJ32">
            <v>25.5</v>
          </cell>
          <cell r="AK32">
            <v>991</v>
          </cell>
          <cell r="AL32">
            <v>912.8</v>
          </cell>
          <cell r="AM32">
            <v>41.1</v>
          </cell>
          <cell r="AN32">
            <v>1257</v>
          </cell>
          <cell r="AO32">
            <v>886</v>
          </cell>
          <cell r="AP32">
            <v>371</v>
          </cell>
          <cell r="AQ32">
            <v>10.6</v>
          </cell>
          <cell r="AR32">
            <v>22.6</v>
          </cell>
          <cell r="AS32">
            <v>1349</v>
          </cell>
          <cell r="AT32">
            <v>70571.399999999994</v>
          </cell>
          <cell r="AU32">
            <v>70560</v>
          </cell>
          <cell r="AV32">
            <v>11.4</v>
          </cell>
          <cell r="AW32">
            <v>2140</v>
          </cell>
          <cell r="AX32">
            <v>301</v>
          </cell>
          <cell r="AY32">
            <v>37</v>
          </cell>
          <cell r="AZ32">
            <v>203</v>
          </cell>
          <cell r="BA32">
            <v>1003</v>
          </cell>
          <cell r="BB32">
            <v>42</v>
          </cell>
          <cell r="BC32">
            <v>113</v>
          </cell>
          <cell r="BD32">
            <v>1338</v>
          </cell>
          <cell r="BE32">
            <v>43</v>
          </cell>
          <cell r="BF32">
            <v>25</v>
          </cell>
          <cell r="BG32">
            <v>324</v>
          </cell>
          <cell r="BH32">
            <v>3</v>
          </cell>
          <cell r="BI32">
            <v>671</v>
          </cell>
          <cell r="BJ32">
            <v>366.7</v>
          </cell>
          <cell r="BK32">
            <v>304.3</v>
          </cell>
          <cell r="BL32">
            <v>1228</v>
          </cell>
          <cell r="BM32">
            <v>378</v>
          </cell>
          <cell r="BN32">
            <v>850</v>
          </cell>
          <cell r="BO32">
            <v>152</v>
          </cell>
          <cell r="BP32">
            <v>382</v>
          </cell>
          <cell r="BQ32">
            <v>180</v>
          </cell>
          <cell r="BR32">
            <v>170</v>
          </cell>
          <cell r="BS32">
            <v>618</v>
          </cell>
          <cell r="BT32">
            <v>66</v>
          </cell>
          <cell r="BU32">
            <v>74.099999999999994</v>
          </cell>
          <cell r="BV32">
            <v>509.1</v>
          </cell>
          <cell r="BW32">
            <v>51.8</v>
          </cell>
          <cell r="BX32">
            <v>44</v>
          </cell>
          <cell r="BY32">
            <v>178.6</v>
          </cell>
          <cell r="BZ32">
            <v>4.0999999999999996</v>
          </cell>
          <cell r="CA32">
            <v>167</v>
          </cell>
          <cell r="CB32">
            <v>7.5</v>
          </cell>
          <cell r="CC32">
            <v>93.5</v>
          </cell>
          <cell r="CD32">
            <v>3079.7</v>
          </cell>
          <cell r="CE32">
            <v>2855</v>
          </cell>
          <cell r="CF32">
            <v>224.7</v>
          </cell>
          <cell r="CG32">
            <v>255</v>
          </cell>
          <cell r="CH32">
            <v>20</v>
          </cell>
          <cell r="CI32">
            <v>43</v>
          </cell>
          <cell r="CJ32">
            <v>139.9</v>
          </cell>
          <cell r="CK32">
            <v>59</v>
          </cell>
          <cell r="CL32">
            <v>583</v>
          </cell>
          <cell r="CM32">
            <v>57.2</v>
          </cell>
          <cell r="CN32">
            <v>0</v>
          </cell>
          <cell r="CO32">
            <v>373.7</v>
          </cell>
          <cell r="CP32">
            <v>185</v>
          </cell>
          <cell r="CQ32">
            <v>15.3</v>
          </cell>
          <cell r="CR32">
            <v>173.4</v>
          </cell>
          <cell r="CS32">
            <v>113.4</v>
          </cell>
          <cell r="CT32">
            <v>403.6</v>
          </cell>
          <cell r="CU32">
            <v>148.9</v>
          </cell>
          <cell r="CV32">
            <v>36</v>
          </cell>
          <cell r="CW32">
            <v>19.8</v>
          </cell>
          <cell r="CX32">
            <v>13.2</v>
          </cell>
          <cell r="CY32">
            <v>180.7</v>
          </cell>
          <cell r="CZ32">
            <v>516.4</v>
          </cell>
          <cell r="DA32">
            <v>106.3</v>
          </cell>
        </row>
        <row r="33">
          <cell r="A33" t="str">
            <v>No transmission transformers</v>
          </cell>
          <cell r="B33" t="str">
            <v>NTRST</v>
          </cell>
          <cell r="C33">
            <v>2004</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22</v>
          </cell>
          <cell r="AX33">
            <v>0</v>
          </cell>
          <cell r="AY33">
            <v>3</v>
          </cell>
          <cell r="AZ33">
            <v>0</v>
          </cell>
          <cell r="BA33">
            <v>16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1</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18</v>
          </cell>
          <cell r="CE33">
            <v>18</v>
          </cell>
          <cell r="CF33">
            <v>0</v>
          </cell>
          <cell r="CG33">
            <v>8</v>
          </cell>
          <cell r="CH33">
            <v>0</v>
          </cell>
          <cell r="CI33">
            <v>0</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2004</v>
          </cell>
          <cell r="D34">
            <v>4</v>
          </cell>
          <cell r="E34">
            <v>42</v>
          </cell>
          <cell r="F34">
            <v>23</v>
          </cell>
          <cell r="G34">
            <v>0</v>
          </cell>
          <cell r="H34">
            <v>5</v>
          </cell>
          <cell r="I34">
            <v>44</v>
          </cell>
          <cell r="J34">
            <v>8</v>
          </cell>
          <cell r="K34">
            <v>6</v>
          </cell>
          <cell r="L34">
            <v>0</v>
          </cell>
          <cell r="M34">
            <v>44</v>
          </cell>
          <cell r="N34">
            <v>4</v>
          </cell>
          <cell r="O34">
            <v>12</v>
          </cell>
          <cell r="P34">
            <v>1</v>
          </cell>
          <cell r="Q34">
            <v>0</v>
          </cell>
          <cell r="R34">
            <v>17</v>
          </cell>
          <cell r="S34">
            <v>0</v>
          </cell>
          <cell r="T34">
            <v>101</v>
          </cell>
          <cell r="U34">
            <v>25</v>
          </cell>
          <cell r="V34">
            <v>10</v>
          </cell>
          <cell r="W34">
            <v>0</v>
          </cell>
          <cell r="X34">
            <v>6</v>
          </cell>
          <cell r="Y34">
            <v>10</v>
          </cell>
          <cell r="Z34">
            <v>7</v>
          </cell>
          <cell r="AA34">
            <v>0</v>
          </cell>
          <cell r="AB34">
            <v>0</v>
          </cell>
          <cell r="AC34">
            <v>0</v>
          </cell>
          <cell r="AD34">
            <v>37</v>
          </cell>
          <cell r="AE34">
            <v>30</v>
          </cell>
          <cell r="AF34">
            <v>7</v>
          </cell>
          <cell r="AG34">
            <v>0</v>
          </cell>
          <cell r="AH34">
            <v>1</v>
          </cell>
          <cell r="AI34">
            <v>0</v>
          </cell>
          <cell r="AJ34">
            <v>1</v>
          </cell>
          <cell r="AK34">
            <v>18</v>
          </cell>
          <cell r="AL34">
            <v>72</v>
          </cell>
          <cell r="AM34">
            <v>0</v>
          </cell>
          <cell r="AN34">
            <v>48</v>
          </cell>
          <cell r="AO34">
            <v>48</v>
          </cell>
          <cell r="AP34">
            <v>0</v>
          </cell>
          <cell r="AQ34">
            <v>0</v>
          </cell>
          <cell r="AR34">
            <v>3</v>
          </cell>
          <cell r="AS34">
            <v>24</v>
          </cell>
          <cell r="AT34">
            <v>1682</v>
          </cell>
          <cell r="AU34">
            <v>1682</v>
          </cell>
          <cell r="AV34">
            <v>0</v>
          </cell>
          <cell r="AW34">
            <v>154</v>
          </cell>
          <cell r="AX34">
            <v>15</v>
          </cell>
          <cell r="AY34">
            <v>0</v>
          </cell>
          <cell r="AZ34">
            <v>34</v>
          </cell>
          <cell r="BA34">
            <v>7</v>
          </cell>
          <cell r="BB34">
            <v>0</v>
          </cell>
          <cell r="BC34">
            <v>7</v>
          </cell>
          <cell r="BD34">
            <v>51</v>
          </cell>
          <cell r="BE34">
            <v>0</v>
          </cell>
          <cell r="BF34">
            <v>6</v>
          </cell>
          <cell r="BG34">
            <v>8</v>
          </cell>
          <cell r="BH34">
            <v>0</v>
          </cell>
          <cell r="BI34">
            <v>13</v>
          </cell>
          <cell r="BJ34">
            <v>13</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3</v>
          </cell>
          <cell r="BY34">
            <v>39</v>
          </cell>
          <cell r="BZ34">
            <v>0</v>
          </cell>
          <cell r="CA34">
            <v>37</v>
          </cell>
          <cell r="CB34">
            <v>2</v>
          </cell>
          <cell r="CC34">
            <v>7</v>
          </cell>
          <cell r="CD34">
            <v>24</v>
          </cell>
          <cell r="CE34">
            <v>15</v>
          </cell>
          <cell r="CF34">
            <v>9</v>
          </cell>
          <cell r="CG34">
            <v>33</v>
          </cell>
          <cell r="CH34">
            <v>5</v>
          </cell>
          <cell r="CI34">
            <v>9</v>
          </cell>
          <cell r="CJ34">
            <v>0</v>
          </cell>
          <cell r="CK34">
            <v>0</v>
          </cell>
          <cell r="CL34">
            <v>33</v>
          </cell>
          <cell r="CM34">
            <v>5</v>
          </cell>
          <cell r="CN34">
            <v>0</v>
          </cell>
          <cell r="CO34">
            <v>66</v>
          </cell>
          <cell r="CP34">
            <v>59</v>
          </cell>
          <cell r="CQ34">
            <v>3</v>
          </cell>
          <cell r="CR34">
            <v>4</v>
          </cell>
          <cell r="CS34">
            <v>3</v>
          </cell>
          <cell r="CT34">
            <v>29</v>
          </cell>
          <cell r="CU34">
            <v>615</v>
          </cell>
          <cell r="CV34">
            <v>6</v>
          </cell>
          <cell r="CW34">
            <v>4</v>
          </cell>
          <cell r="CX34">
            <v>2</v>
          </cell>
          <cell r="CY34">
            <v>28</v>
          </cell>
          <cell r="CZ34">
            <v>14</v>
          </cell>
          <cell r="DA34">
            <v>0</v>
          </cell>
        </row>
        <row r="35">
          <cell r="A35" t="str">
            <v>No distribution transformers</v>
          </cell>
          <cell r="B35" t="str">
            <v>NTRFD</v>
          </cell>
          <cell r="C35">
            <v>2004</v>
          </cell>
          <cell r="D35">
            <v>324</v>
          </cell>
          <cell r="E35">
            <v>9118</v>
          </cell>
          <cell r="F35">
            <v>4895</v>
          </cell>
          <cell r="G35">
            <v>2631</v>
          </cell>
          <cell r="H35">
            <v>3252</v>
          </cell>
          <cell r="I35">
            <v>8605</v>
          </cell>
          <cell r="J35">
            <v>6711</v>
          </cell>
          <cell r="K35">
            <v>813</v>
          </cell>
          <cell r="L35">
            <v>1</v>
          </cell>
          <cell r="M35">
            <v>3496</v>
          </cell>
          <cell r="N35">
            <v>241</v>
          </cell>
          <cell r="O35">
            <v>2000</v>
          </cell>
          <cell r="P35">
            <v>275</v>
          </cell>
          <cell r="Q35">
            <v>66</v>
          </cell>
          <cell r="R35">
            <v>600</v>
          </cell>
          <cell r="S35">
            <v>1502</v>
          </cell>
          <cell r="T35">
            <v>25409</v>
          </cell>
          <cell r="U35">
            <v>8017</v>
          </cell>
          <cell r="V35">
            <v>1563</v>
          </cell>
          <cell r="W35">
            <v>703</v>
          </cell>
          <cell r="X35">
            <v>3028</v>
          </cell>
          <cell r="Y35">
            <v>2418</v>
          </cell>
          <cell r="Z35">
            <v>2601</v>
          </cell>
          <cell r="AA35">
            <v>788</v>
          </cell>
          <cell r="AB35">
            <v>113</v>
          </cell>
          <cell r="AC35">
            <v>5606</v>
          </cell>
          <cell r="AD35">
            <v>5484</v>
          </cell>
          <cell r="AE35">
            <v>5066</v>
          </cell>
          <cell r="AF35">
            <v>418</v>
          </cell>
          <cell r="AG35">
            <v>1420</v>
          </cell>
          <cell r="AH35">
            <v>5189</v>
          </cell>
          <cell r="AI35">
            <v>4939</v>
          </cell>
          <cell r="AJ35">
            <v>250</v>
          </cell>
          <cell r="AK35">
            <v>6408</v>
          </cell>
          <cell r="AL35">
            <v>3569</v>
          </cell>
          <cell r="AM35">
            <v>593</v>
          </cell>
          <cell r="AN35">
            <v>23334</v>
          </cell>
          <cell r="AO35">
            <v>17402</v>
          </cell>
          <cell r="AP35">
            <v>5932</v>
          </cell>
          <cell r="AQ35">
            <v>174</v>
          </cell>
          <cell r="AR35">
            <v>734</v>
          </cell>
          <cell r="AS35">
            <v>13574</v>
          </cell>
          <cell r="AT35">
            <v>505790</v>
          </cell>
          <cell r="AU35">
            <v>505619</v>
          </cell>
          <cell r="AV35">
            <v>171</v>
          </cell>
          <cell r="AW35">
            <v>39756</v>
          </cell>
          <cell r="AX35">
            <v>3124</v>
          </cell>
          <cell r="AY35">
            <v>688</v>
          </cell>
          <cell r="AZ35">
            <v>2200</v>
          </cell>
          <cell r="BA35">
            <v>9386</v>
          </cell>
          <cell r="BB35">
            <v>590</v>
          </cell>
          <cell r="BC35">
            <v>1735</v>
          </cell>
          <cell r="BD35">
            <v>14435</v>
          </cell>
          <cell r="BE35">
            <v>1102</v>
          </cell>
          <cell r="BF35">
            <v>1108</v>
          </cell>
          <cell r="BG35">
            <v>4010</v>
          </cell>
          <cell r="BH35">
            <v>16</v>
          </cell>
          <cell r="BI35">
            <v>3750</v>
          </cell>
          <cell r="BJ35">
            <v>3100</v>
          </cell>
          <cell r="BK35">
            <v>650</v>
          </cell>
          <cell r="BL35">
            <v>8146</v>
          </cell>
          <cell r="BM35">
            <v>4068</v>
          </cell>
          <cell r="BN35">
            <v>4078</v>
          </cell>
          <cell r="BO35">
            <v>1640</v>
          </cell>
          <cell r="BP35">
            <v>4900</v>
          </cell>
          <cell r="BQ35">
            <v>3890</v>
          </cell>
          <cell r="BR35">
            <v>725</v>
          </cell>
          <cell r="BS35">
            <v>7650</v>
          </cell>
          <cell r="BT35">
            <v>1230</v>
          </cell>
          <cell r="BU35">
            <v>1692</v>
          </cell>
          <cell r="BV35">
            <v>6153</v>
          </cell>
          <cell r="BW35">
            <v>1592</v>
          </cell>
          <cell r="BX35">
            <v>687</v>
          </cell>
          <cell r="BY35">
            <v>3489</v>
          </cell>
          <cell r="BZ35">
            <v>134</v>
          </cell>
          <cell r="CA35">
            <v>3149</v>
          </cell>
          <cell r="CB35">
            <v>206</v>
          </cell>
          <cell r="CC35">
            <v>2042</v>
          </cell>
          <cell r="CD35">
            <v>32777</v>
          </cell>
          <cell r="CE35">
            <v>30483</v>
          </cell>
          <cell r="CF35">
            <v>2294</v>
          </cell>
          <cell r="CG35">
            <v>5892</v>
          </cell>
          <cell r="CH35">
            <v>425</v>
          </cell>
          <cell r="CI35">
            <v>965</v>
          </cell>
          <cell r="CJ35">
            <v>930</v>
          </cell>
          <cell r="CK35">
            <v>1295</v>
          </cell>
          <cell r="CL35">
            <v>6777</v>
          </cell>
          <cell r="CM35">
            <v>865</v>
          </cell>
          <cell r="CN35">
            <v>59405</v>
          </cell>
          <cell r="CO35">
            <v>14701</v>
          </cell>
          <cell r="CP35">
            <v>12700</v>
          </cell>
          <cell r="CQ35">
            <v>274</v>
          </cell>
          <cell r="CR35">
            <v>1727</v>
          </cell>
          <cell r="CS35">
            <v>1232</v>
          </cell>
          <cell r="CT35">
            <v>8817</v>
          </cell>
          <cell r="CU35">
            <v>2027</v>
          </cell>
          <cell r="CV35">
            <v>681</v>
          </cell>
          <cell r="CW35">
            <v>417</v>
          </cell>
          <cell r="CX35">
            <v>243</v>
          </cell>
          <cell r="CY35">
            <v>2956</v>
          </cell>
          <cell r="CZ35">
            <v>4857</v>
          </cell>
          <cell r="DA35">
            <v>1640</v>
          </cell>
        </row>
        <row r="36">
          <cell r="A36" t="str">
            <v>Utility average load factor</v>
          </cell>
          <cell r="B36" t="str">
            <v>LF</v>
          </cell>
          <cell r="C36">
            <v>2004</v>
          </cell>
          <cell r="D36">
            <v>75.349999999999994</v>
          </cell>
          <cell r="E36" t="str">
            <v>0.62</v>
          </cell>
          <cell r="F36">
            <v>78.08</v>
          </cell>
          <cell r="G36">
            <v>65.48</v>
          </cell>
          <cell r="H36">
            <v>65</v>
          </cell>
          <cell r="I36">
            <v>71.599999999999994</v>
          </cell>
          <cell r="J36">
            <v>77</v>
          </cell>
          <cell r="K36">
            <v>72.89</v>
          </cell>
          <cell r="L36">
            <v>74.7</v>
          </cell>
          <cell r="M36">
            <v>73.87</v>
          </cell>
          <cell r="N36">
            <v>69.319999999999993</v>
          </cell>
          <cell r="O36">
            <v>77</v>
          </cell>
          <cell r="P36">
            <v>69.53</v>
          </cell>
          <cell r="Q36" t="str">
            <v>0.25</v>
          </cell>
          <cell r="R36">
            <v>59.94</v>
          </cell>
          <cell r="S36">
            <v>71</v>
          </cell>
          <cell r="T36">
            <v>74.599999999999994</v>
          </cell>
          <cell r="U36">
            <v>82</v>
          </cell>
          <cell r="V36" t="str">
            <v>0.74</v>
          </cell>
          <cell r="W36">
            <v>71</v>
          </cell>
          <cell r="X36">
            <v>66.98</v>
          </cell>
          <cell r="Y36">
            <v>80.7</v>
          </cell>
          <cell r="Z36">
            <v>64.5</v>
          </cell>
          <cell r="AA36">
            <v>72.5</v>
          </cell>
          <cell r="AB36">
            <v>76.599999999999994</v>
          </cell>
          <cell r="AC36">
            <v>1.51</v>
          </cell>
          <cell r="AD36">
            <v>0</v>
          </cell>
          <cell r="AE36">
            <v>76.47</v>
          </cell>
          <cell r="AF36">
            <v>613</v>
          </cell>
          <cell r="AG36">
            <v>63.53</v>
          </cell>
          <cell r="AH36">
            <v>0</v>
          </cell>
          <cell r="AI36">
            <v>75.5</v>
          </cell>
          <cell r="AJ36">
            <v>62.6</v>
          </cell>
          <cell r="AK36">
            <v>70.3</v>
          </cell>
          <cell r="AL36">
            <v>80.33</v>
          </cell>
          <cell r="AM36">
            <v>69</v>
          </cell>
          <cell r="AN36">
            <v>0</v>
          </cell>
          <cell r="AO36">
            <v>73.650000000000006</v>
          </cell>
          <cell r="AP36">
            <v>67.7</v>
          </cell>
          <cell r="AQ36">
            <v>71.52</v>
          </cell>
          <cell r="AR36">
            <v>75.36</v>
          </cell>
          <cell r="AS36">
            <v>0</v>
          </cell>
          <cell r="AT36">
            <v>68.599999999999994</v>
          </cell>
          <cell r="AU36" t="str">
            <v>0.80</v>
          </cell>
          <cell r="AV36">
            <v>67.8</v>
          </cell>
          <cell r="AW36" t="str">
            <v>0.74</v>
          </cell>
          <cell r="AX36">
            <v>50</v>
          </cell>
          <cell r="AY36">
            <v>73.72</v>
          </cell>
          <cell r="AZ36" t="str">
            <v>0.75</v>
          </cell>
          <cell r="BA36">
            <v>73.099999999999994</v>
          </cell>
          <cell r="BB36" t="str">
            <v>0.73</v>
          </cell>
          <cell r="BC36">
            <v>74.05</v>
          </cell>
          <cell r="BD36">
            <v>73.099999999999994</v>
          </cell>
          <cell r="BE36">
            <v>70.599999999999994</v>
          </cell>
          <cell r="BF36">
            <v>73.2</v>
          </cell>
          <cell r="BG36">
            <v>74.099999999999994</v>
          </cell>
          <cell r="BH36">
            <v>2714</v>
          </cell>
          <cell r="BI36">
            <v>141.49</v>
          </cell>
          <cell r="BJ36">
            <v>70</v>
          </cell>
          <cell r="BK36">
            <v>71.489999999999995</v>
          </cell>
          <cell r="BL36">
            <v>0</v>
          </cell>
          <cell r="BM36">
            <v>73.400000000000006</v>
          </cell>
          <cell r="BN36">
            <v>88</v>
          </cell>
          <cell r="BO36">
            <v>80.599999999999994</v>
          </cell>
          <cell r="BP36" t="str">
            <v>0.73</v>
          </cell>
          <cell r="BQ36" t="str">
            <v>0.76</v>
          </cell>
          <cell r="BR36">
            <v>74.41</v>
          </cell>
          <cell r="BS36">
            <v>71.900000000000006</v>
          </cell>
          <cell r="BT36">
            <v>72.64</v>
          </cell>
          <cell r="BU36">
            <v>63.4</v>
          </cell>
          <cell r="BV36">
            <v>71.89</v>
          </cell>
          <cell r="BW36" t="str">
            <v>0.56</v>
          </cell>
          <cell r="BX36">
            <v>69.06</v>
          </cell>
          <cell r="BY36">
            <v>0</v>
          </cell>
          <cell r="BZ36">
            <v>71.16</v>
          </cell>
          <cell r="CA36">
            <v>72.25</v>
          </cell>
          <cell r="CB36">
            <v>70.239999999999995</v>
          </cell>
          <cell r="CC36">
            <v>59</v>
          </cell>
          <cell r="CD36">
            <v>70</v>
          </cell>
          <cell r="CE36">
            <v>70</v>
          </cell>
          <cell r="CF36">
            <v>0.81</v>
          </cell>
          <cell r="CG36">
            <v>75.900000000000006</v>
          </cell>
          <cell r="CH36">
            <v>70</v>
          </cell>
          <cell r="CI36">
            <v>70</v>
          </cell>
          <cell r="CJ36">
            <v>8.52</v>
          </cell>
          <cell r="CK36">
            <v>64</v>
          </cell>
          <cell r="CL36">
            <v>76.06</v>
          </cell>
          <cell r="CM36">
            <v>72.099999999999994</v>
          </cell>
          <cell r="CN36">
            <v>74.59</v>
          </cell>
          <cell r="CO36">
            <v>0</v>
          </cell>
          <cell r="CP36">
            <v>69.81</v>
          </cell>
          <cell r="CQ36">
            <v>72.2</v>
          </cell>
          <cell r="CR36">
            <v>74.44</v>
          </cell>
          <cell r="CS36">
            <v>67.98</v>
          </cell>
          <cell r="CT36">
            <v>71</v>
          </cell>
          <cell r="CU36" t="str">
            <v>0.72</v>
          </cell>
          <cell r="CV36">
            <v>74.5</v>
          </cell>
          <cell r="CW36">
            <v>75</v>
          </cell>
          <cell r="CX36">
            <v>73.599999999999994</v>
          </cell>
          <cell r="CY36">
            <v>71.2</v>
          </cell>
          <cell r="CZ36">
            <v>71</v>
          </cell>
          <cell r="DA36">
            <v>73</v>
          </cell>
        </row>
      </sheetData>
      <sheetData sheetId="5" refreshError="1">
        <row r="1">
          <cell r="A1" t="str">
            <v>Distributor Data for Year ended Dec 31st, 2005</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Plant Additions</v>
          </cell>
          <cell r="B6" t="str">
            <v>PADD</v>
          </cell>
          <cell r="C6">
            <v>2005</v>
          </cell>
          <cell r="D6">
            <v>230883</v>
          </cell>
          <cell r="E6">
            <v>16907754</v>
          </cell>
          <cell r="F6">
            <v>5147855</v>
          </cell>
          <cell r="G6">
            <v>5096148</v>
          </cell>
          <cell r="H6">
            <v>11065762</v>
          </cell>
          <cell r="I6">
            <v>7409269.6399999997</v>
          </cell>
          <cell r="J6">
            <v>1018728.11</v>
          </cell>
          <cell r="K6">
            <v>7338653.2000000002</v>
          </cell>
          <cell r="L6">
            <v>4498639.3899999997</v>
          </cell>
          <cell r="M6">
            <v>591475.34</v>
          </cell>
          <cell r="N6">
            <v>33079.96</v>
          </cell>
          <cell r="O6">
            <v>3795188</v>
          </cell>
          <cell r="P6">
            <v>26379</v>
          </cell>
          <cell r="Q6">
            <v>153743</v>
          </cell>
          <cell r="R6">
            <v>3205.16</v>
          </cell>
          <cell r="S6">
            <v>826248.11</v>
          </cell>
          <cell r="T6">
            <v>6266503</v>
          </cell>
          <cell r="U6">
            <v>1368191.94</v>
          </cell>
          <cell r="V6">
            <v>30245000</v>
          </cell>
          <cell r="W6">
            <v>1316101.05</v>
          </cell>
          <cell r="X6">
            <v>117089.86</v>
          </cell>
          <cell r="Y6">
            <v>1193755</v>
          </cell>
          <cell r="Z6">
            <v>3060463</v>
          </cell>
          <cell r="AA6">
            <v>83425</v>
          </cell>
          <cell r="AB6">
            <v>1933</v>
          </cell>
          <cell r="AC6">
            <v>0</v>
          </cell>
          <cell r="AD6">
            <v>5307086.5999999996</v>
          </cell>
          <cell r="AE6">
            <v>5273803.3499999996</v>
          </cell>
          <cell r="AF6">
            <v>33283.25</v>
          </cell>
          <cell r="AG6">
            <v>1124268.3600000001</v>
          </cell>
          <cell r="AH6">
            <v>0</v>
          </cell>
          <cell r="AI6">
            <v>9874449.5199999996</v>
          </cell>
          <cell r="AJ6">
            <v>261847.75</v>
          </cell>
          <cell r="AK6">
            <v>2363411.67</v>
          </cell>
          <cell r="AL6">
            <v>3750244</v>
          </cell>
          <cell r="AM6">
            <v>16756798.85</v>
          </cell>
          <cell r="AN6">
            <v>108950</v>
          </cell>
          <cell r="AO6">
            <v>0</v>
          </cell>
          <cell r="AP6">
            <v>156358.03</v>
          </cell>
          <cell r="AQ6">
            <v>17698000</v>
          </cell>
          <cell r="AR6">
            <v>286440020.05000001</v>
          </cell>
          <cell r="AS6">
            <v>286400000</v>
          </cell>
          <cell r="AT6">
            <v>40020.050000000003</v>
          </cell>
          <cell r="AU6">
            <v>59282886</v>
          </cell>
          <cell r="AV6">
            <v>1298789</v>
          </cell>
          <cell r="AW6">
            <v>473234</v>
          </cell>
          <cell r="AX6">
            <v>2966731</v>
          </cell>
          <cell r="AY6">
            <v>15081086.08</v>
          </cell>
          <cell r="AZ6">
            <v>957215</v>
          </cell>
          <cell r="BA6">
            <v>1005063.99</v>
          </cell>
          <cell r="BB6">
            <v>16712064</v>
          </cell>
          <cell r="BC6">
            <v>421142</v>
          </cell>
          <cell r="BD6">
            <v>507657.18</v>
          </cell>
          <cell r="BE6">
            <v>10355469.43</v>
          </cell>
          <cell r="BF6">
            <v>0</v>
          </cell>
          <cell r="BG6">
            <v>6213071.5499999998</v>
          </cell>
          <cell r="BH6">
            <v>6093737.7199999997</v>
          </cell>
          <cell r="BI6">
            <v>119333.83</v>
          </cell>
          <cell r="BJ6">
            <v>8335488</v>
          </cell>
          <cell r="BK6">
            <v>4213481</v>
          </cell>
          <cell r="BL6">
            <v>4122007</v>
          </cell>
          <cell r="BM6">
            <v>3375491.11</v>
          </cell>
          <cell r="BN6">
            <v>4070895</v>
          </cell>
          <cell r="BO6">
            <v>2646546.9300000002</v>
          </cell>
          <cell r="BP6">
            <v>167266.28</v>
          </cell>
          <cell r="BQ6">
            <v>13136525</v>
          </cell>
          <cell r="BR6">
            <v>936983.87</v>
          </cell>
          <cell r="BS6">
            <v>1410731</v>
          </cell>
          <cell r="BT6">
            <v>10943000</v>
          </cell>
          <cell r="BU6">
            <v>822862.8</v>
          </cell>
          <cell r="BV6">
            <v>3761856</v>
          </cell>
          <cell r="BW6">
            <v>432363.47</v>
          </cell>
          <cell r="BX6">
            <v>4564154</v>
          </cell>
          <cell r="BY6">
            <v>1702498.69</v>
          </cell>
          <cell r="BZ6">
            <v>0</v>
          </cell>
          <cell r="CA6">
            <v>46136886</v>
          </cell>
          <cell r="CB6">
            <v>1614462</v>
          </cell>
          <cell r="CC6">
            <v>408295</v>
          </cell>
          <cell r="CD6">
            <v>280085.3</v>
          </cell>
          <cell r="CE6">
            <v>279586.96000000002</v>
          </cell>
          <cell r="CF6">
            <v>2144120.31</v>
          </cell>
          <cell r="CG6">
            <v>5760884</v>
          </cell>
          <cell r="CH6">
            <v>757445</v>
          </cell>
          <cell r="CI6">
            <v>155798967</v>
          </cell>
          <cell r="CJ6">
            <v>0</v>
          </cell>
          <cell r="CK6">
            <v>9354165</v>
          </cell>
          <cell r="CL6">
            <v>932329</v>
          </cell>
          <cell r="CM6">
            <v>807225.04</v>
          </cell>
          <cell r="CN6">
            <v>9577593</v>
          </cell>
          <cell r="CO6">
            <v>1543607</v>
          </cell>
          <cell r="CP6">
            <v>342500.69</v>
          </cell>
          <cell r="CQ6">
            <v>0</v>
          </cell>
          <cell r="CR6">
            <v>54400</v>
          </cell>
          <cell r="CS6">
            <v>3491787</v>
          </cell>
          <cell r="CT6">
            <v>4588415</v>
          </cell>
          <cell r="CU6">
            <v>1307333.8799999999</v>
          </cell>
        </row>
        <row r="7">
          <cell r="A7" t="str">
            <v>OM&amp;A Expense</v>
          </cell>
          <cell r="B7" t="str">
            <v>COMA</v>
          </cell>
          <cell r="C7">
            <v>2005</v>
          </cell>
          <cell r="D7">
            <v>658727.25</v>
          </cell>
          <cell r="E7">
            <v>7169958</v>
          </cell>
          <cell r="F7">
            <v>8698112</v>
          </cell>
          <cell r="G7">
            <v>2977851.7199999997</v>
          </cell>
          <cell r="H7">
            <v>6830242.9000000004</v>
          </cell>
          <cell r="I7">
            <v>10467051.26</v>
          </cell>
          <cell r="J7">
            <v>2585797.98</v>
          </cell>
          <cell r="K7">
            <v>7225426</v>
          </cell>
          <cell r="L7">
            <v>3844105.39</v>
          </cell>
          <cell r="M7">
            <v>1405800.75</v>
          </cell>
          <cell r="N7">
            <v>521658.19</v>
          </cell>
          <cell r="O7">
            <v>5065583.24</v>
          </cell>
          <cell r="P7">
            <v>377730.46</v>
          </cell>
          <cell r="Q7">
            <v>356123.2</v>
          </cell>
          <cell r="R7">
            <v>155412.62</v>
          </cell>
          <cell r="S7">
            <v>1131676.1600000001</v>
          </cell>
          <cell r="T7">
            <v>20930759</v>
          </cell>
          <cell r="U7">
            <v>1199546.0999999999</v>
          </cell>
          <cell r="V7">
            <v>37450448</v>
          </cell>
          <cell r="W7">
            <v>4295764.830000001</v>
          </cell>
          <cell r="X7">
            <v>763976.04</v>
          </cell>
          <cell r="Y7">
            <v>6312487.5199999996</v>
          </cell>
          <cell r="Z7">
            <v>3037717.34</v>
          </cell>
          <cell r="AA7">
            <v>1039412.9999999999</v>
          </cell>
          <cell r="AB7">
            <v>198967.05</v>
          </cell>
          <cell r="AC7">
            <v>7346344.5099999998</v>
          </cell>
          <cell r="AD7">
            <v>9577961.120000001</v>
          </cell>
          <cell r="AE7">
            <v>8826416.5299999993</v>
          </cell>
          <cell r="AF7">
            <v>751544.59</v>
          </cell>
          <cell r="AG7">
            <v>1511846.4799999997</v>
          </cell>
          <cell r="AH7">
            <v>8566317.6400000006</v>
          </cell>
          <cell r="AI7">
            <v>8173418.2599999998</v>
          </cell>
          <cell r="AJ7">
            <v>392899.37999999995</v>
          </cell>
          <cell r="AK7">
            <v>5281192.7700000005</v>
          </cell>
          <cell r="AL7">
            <v>3711596</v>
          </cell>
          <cell r="AM7">
            <v>36729069.129999995</v>
          </cell>
          <cell r="AN7">
            <v>594375.69000000006</v>
          </cell>
          <cell r="AO7">
            <v>270949.45</v>
          </cell>
          <cell r="AP7">
            <v>724066.12</v>
          </cell>
          <cell r="AQ7">
            <v>13311695.74</v>
          </cell>
          <cell r="AR7">
            <v>330358047.92000002</v>
          </cell>
          <cell r="AS7">
            <v>330055500</v>
          </cell>
          <cell r="AT7">
            <v>302547.92</v>
          </cell>
          <cell r="AU7">
            <v>33018711.990000006</v>
          </cell>
          <cell r="AV7">
            <v>2593786.6799999997</v>
          </cell>
          <cell r="AW7">
            <v>1221287.6099999999</v>
          </cell>
          <cell r="AX7">
            <v>5008954</v>
          </cell>
          <cell r="AY7">
            <v>9920630.040000001</v>
          </cell>
          <cell r="AZ7">
            <v>1610159.8699999999</v>
          </cell>
          <cell r="BA7">
            <v>1925357.68</v>
          </cell>
          <cell r="BB7">
            <v>21011035.850000001</v>
          </cell>
          <cell r="BC7">
            <v>1516781</v>
          </cell>
          <cell r="BD7">
            <v>1520850.79</v>
          </cell>
          <cell r="BE7">
            <v>3997409.29</v>
          </cell>
          <cell r="BF7">
            <v>35265</v>
          </cell>
          <cell r="BG7">
            <v>5554092.8500000006</v>
          </cell>
          <cell r="BH7">
            <v>4663338.8499999996</v>
          </cell>
          <cell r="BI7">
            <v>890753.99999999988</v>
          </cell>
          <cell r="BJ7">
            <v>12104253</v>
          </cell>
          <cell r="BK7">
            <v>7596924</v>
          </cell>
          <cell r="BL7">
            <v>4507329</v>
          </cell>
          <cell r="BM7">
            <v>1334840.51</v>
          </cell>
          <cell r="BN7">
            <v>3651757.03</v>
          </cell>
          <cell r="BO7">
            <v>4466705</v>
          </cell>
          <cell r="BP7">
            <v>1634640.47</v>
          </cell>
          <cell r="BQ7">
            <v>9670235.5499999989</v>
          </cell>
          <cell r="BR7">
            <v>1637533.62</v>
          </cell>
          <cell r="BS7">
            <v>2949155.17</v>
          </cell>
          <cell r="BT7">
            <v>7675841.6899999995</v>
          </cell>
          <cell r="BU7">
            <v>1856499.68</v>
          </cell>
          <cell r="BV7">
            <v>6785963.3900000006</v>
          </cell>
          <cell r="BW7">
            <v>984578.89000000013</v>
          </cell>
          <cell r="BX7">
            <v>5271823.58</v>
          </cell>
          <cell r="BY7">
            <v>3921070.62</v>
          </cell>
          <cell r="BZ7">
            <v>38762336.160000004</v>
          </cell>
          <cell r="CA7">
            <v>36239976.040000007</v>
          </cell>
          <cell r="CB7">
            <v>2522360.1199999996</v>
          </cell>
          <cell r="CC7">
            <v>697695.37</v>
          </cell>
          <cell r="CD7">
            <v>1177051.5</v>
          </cell>
          <cell r="CE7">
            <v>991517.33</v>
          </cell>
          <cell r="CF7">
            <v>2904042.9699999997</v>
          </cell>
          <cell r="CG7">
            <v>10019522.030000001</v>
          </cell>
          <cell r="CH7">
            <v>1364812</v>
          </cell>
          <cell r="CI7">
            <v>136233684.62</v>
          </cell>
          <cell r="CJ7">
            <v>18163731</v>
          </cell>
          <cell r="CK7">
            <v>17044268</v>
          </cell>
          <cell r="CL7">
            <v>1119463</v>
          </cell>
          <cell r="CM7">
            <v>1552577.23</v>
          </cell>
          <cell r="CN7">
            <v>8083610.46</v>
          </cell>
          <cell r="CO7">
            <v>3695885</v>
          </cell>
          <cell r="CP7">
            <v>932192.42</v>
          </cell>
          <cell r="CQ7">
            <v>1396310</v>
          </cell>
          <cell r="CR7">
            <v>425644.24999999994</v>
          </cell>
          <cell r="CS7">
            <v>4096622</v>
          </cell>
          <cell r="CT7">
            <v>7168880.7999999998</v>
          </cell>
          <cell r="CU7">
            <v>2955139.43</v>
          </cell>
        </row>
        <row r="8">
          <cell r="A8" t="str">
            <v>Income Taxes</v>
          </cell>
          <cell r="B8" t="str">
            <v>CTAXINC</v>
          </cell>
          <cell r="C8">
            <v>2005</v>
          </cell>
          <cell r="D8">
            <v>0</v>
          </cell>
          <cell r="E8">
            <v>4700578</v>
          </cell>
          <cell r="F8">
            <v>-420000</v>
          </cell>
          <cell r="G8">
            <v>269648</v>
          </cell>
          <cell r="H8">
            <v>650513</v>
          </cell>
          <cell r="I8">
            <v>2992370</v>
          </cell>
          <cell r="J8">
            <v>146703</v>
          </cell>
          <cell r="K8">
            <v>1950983</v>
          </cell>
          <cell r="L8">
            <v>111056.17</v>
          </cell>
          <cell r="M8">
            <v>175000</v>
          </cell>
          <cell r="N8">
            <v>0</v>
          </cell>
          <cell r="O8">
            <v>1225736.27</v>
          </cell>
          <cell r="P8">
            <v>0</v>
          </cell>
          <cell r="Q8">
            <v>-8884</v>
          </cell>
          <cell r="R8">
            <v>0</v>
          </cell>
          <cell r="S8">
            <v>162000</v>
          </cell>
          <cell r="T8">
            <v>376268</v>
          </cell>
          <cell r="U8">
            <v>147964</v>
          </cell>
          <cell r="V8">
            <v>8558529</v>
          </cell>
          <cell r="W8">
            <v>-121000</v>
          </cell>
          <cell r="X8">
            <v>-13078</v>
          </cell>
          <cell r="Y8">
            <v>301318.08</v>
          </cell>
          <cell r="Z8">
            <v>925000.39</v>
          </cell>
          <cell r="AA8">
            <v>-1260.8399999999999</v>
          </cell>
          <cell r="AB8">
            <v>-2664</v>
          </cell>
          <cell r="AC8">
            <v>354467.02</v>
          </cell>
          <cell r="AD8">
            <v>-113646</v>
          </cell>
          <cell r="AE8">
            <v>-113646</v>
          </cell>
          <cell r="AF8">
            <v>0</v>
          </cell>
          <cell r="AG8">
            <v>135712.95999999999</v>
          </cell>
          <cell r="AH8">
            <v>1136716.67</v>
          </cell>
          <cell r="AI8">
            <v>1141646.67</v>
          </cell>
          <cell r="AJ8">
            <v>-4930</v>
          </cell>
          <cell r="AK8">
            <v>747049</v>
          </cell>
          <cell r="AL8">
            <v>634589</v>
          </cell>
          <cell r="AM8">
            <v>5652337.6100000003</v>
          </cell>
          <cell r="AN8">
            <v>-23253</v>
          </cell>
          <cell r="AO8">
            <v>-2025</v>
          </cell>
          <cell r="AP8">
            <v>48825</v>
          </cell>
          <cell r="AQ8">
            <v>8594713</v>
          </cell>
          <cell r="AR8">
            <v>56060500</v>
          </cell>
          <cell r="AS8">
            <v>56060500</v>
          </cell>
          <cell r="AT8">
            <v>0</v>
          </cell>
          <cell r="AU8">
            <v>0</v>
          </cell>
          <cell r="AV8">
            <v>159000</v>
          </cell>
          <cell r="AW8">
            <v>16917</v>
          </cell>
          <cell r="AX8">
            <v>400517</v>
          </cell>
          <cell r="AY8">
            <v>2939451</v>
          </cell>
          <cell r="AZ8">
            <v>663000</v>
          </cell>
          <cell r="BA8">
            <v>698447</v>
          </cell>
          <cell r="BB8">
            <v>2509000</v>
          </cell>
          <cell r="BC8">
            <v>182897</v>
          </cell>
          <cell r="BD8">
            <v>0</v>
          </cell>
          <cell r="BE8">
            <v>902653</v>
          </cell>
          <cell r="BF8">
            <v>0</v>
          </cell>
          <cell r="BG8">
            <v>595906</v>
          </cell>
          <cell r="BH8">
            <v>676606</v>
          </cell>
          <cell r="BI8">
            <v>-80700</v>
          </cell>
          <cell r="BJ8">
            <v>574211</v>
          </cell>
          <cell r="BK8">
            <v>-353789</v>
          </cell>
          <cell r="BL8">
            <v>928000</v>
          </cell>
          <cell r="BM8">
            <v>220587.61</v>
          </cell>
          <cell r="BN8">
            <v>392233.51</v>
          </cell>
          <cell r="BO8">
            <v>95808</v>
          </cell>
          <cell r="BP8">
            <v>28729</v>
          </cell>
          <cell r="BQ8">
            <v>2655260</v>
          </cell>
          <cell r="BR8">
            <v>563029</v>
          </cell>
          <cell r="BS8">
            <v>1198433</v>
          </cell>
          <cell r="BT8">
            <v>2333000</v>
          </cell>
          <cell r="BU8">
            <v>217372</v>
          </cell>
          <cell r="BV8">
            <v>0</v>
          </cell>
          <cell r="BW8">
            <v>29722</v>
          </cell>
          <cell r="BX8">
            <v>2782935.5</v>
          </cell>
          <cell r="BY8">
            <v>-628643</v>
          </cell>
          <cell r="BZ8">
            <v>11065431</v>
          </cell>
          <cell r="CA8">
            <v>9910431</v>
          </cell>
          <cell r="CB8">
            <v>1155000</v>
          </cell>
          <cell r="CC8">
            <v>57250</v>
          </cell>
          <cell r="CD8">
            <v>25880.65</v>
          </cell>
          <cell r="CE8">
            <v>28066</v>
          </cell>
          <cell r="CF8">
            <v>876594</v>
          </cell>
          <cell r="CG8">
            <v>1364999</v>
          </cell>
          <cell r="CH8">
            <v>34184</v>
          </cell>
          <cell r="CI8">
            <v>61113786</v>
          </cell>
          <cell r="CJ8">
            <v>3929460</v>
          </cell>
          <cell r="CK8">
            <v>3749701</v>
          </cell>
          <cell r="CL8">
            <v>179759</v>
          </cell>
          <cell r="CM8">
            <v>216651.97</v>
          </cell>
          <cell r="CN8">
            <v>3088616</v>
          </cell>
          <cell r="CO8">
            <v>0</v>
          </cell>
          <cell r="CP8">
            <v>4200</v>
          </cell>
          <cell r="CQ8">
            <v>-64026</v>
          </cell>
          <cell r="CR8">
            <v>0</v>
          </cell>
          <cell r="CS8">
            <v>655872</v>
          </cell>
          <cell r="CT8">
            <v>1771167.25</v>
          </cell>
          <cell r="CU8">
            <v>275538.63</v>
          </cell>
        </row>
        <row r="9">
          <cell r="A9" t="str">
            <v>Customers</v>
          </cell>
          <cell r="B9" t="str">
            <v>YN</v>
          </cell>
          <cell r="C9">
            <v>2005</v>
          </cell>
          <cell r="D9">
            <v>1765</v>
          </cell>
          <cell r="E9">
            <v>65812</v>
          </cell>
          <cell r="F9">
            <v>35208</v>
          </cell>
          <cell r="G9">
            <v>9149</v>
          </cell>
          <cell r="H9">
            <v>35986</v>
          </cell>
          <cell r="I9">
            <v>59537</v>
          </cell>
          <cell r="J9">
            <v>14124</v>
          </cell>
          <cell r="K9">
            <v>47346</v>
          </cell>
          <cell r="L9">
            <v>15230</v>
          </cell>
          <cell r="M9">
            <v>6086</v>
          </cell>
          <cell r="N9">
            <v>1353</v>
          </cell>
          <cell r="O9">
            <v>31955</v>
          </cell>
          <cell r="P9">
            <v>1633</v>
          </cell>
          <cell r="Q9">
            <v>1791</v>
          </cell>
          <cell r="R9">
            <v>586</v>
          </cell>
          <cell r="S9">
            <v>10555</v>
          </cell>
          <cell r="T9">
            <v>84254</v>
          </cell>
          <cell r="U9">
            <v>3537</v>
          </cell>
          <cell r="V9">
            <v>178140</v>
          </cell>
          <cell r="W9">
            <v>13570</v>
          </cell>
          <cell r="X9">
            <v>3315</v>
          </cell>
          <cell r="Y9">
            <v>27437</v>
          </cell>
          <cell r="Z9">
            <v>18860</v>
          </cell>
          <cell r="AA9">
            <v>4040</v>
          </cell>
          <cell r="AB9">
            <v>682</v>
          </cell>
          <cell r="AC9">
            <v>11457</v>
          </cell>
          <cell r="AD9">
            <v>45915</v>
          </cell>
          <cell r="AE9">
            <v>42814</v>
          </cell>
          <cell r="AF9">
            <v>3101</v>
          </cell>
          <cell r="AG9">
            <v>9530</v>
          </cell>
          <cell r="AH9">
            <v>56177</v>
          </cell>
          <cell r="AI9">
            <v>54520</v>
          </cell>
          <cell r="AJ9">
            <v>1657</v>
          </cell>
          <cell r="AK9">
            <v>20462</v>
          </cell>
          <cell r="AL9">
            <v>19873</v>
          </cell>
          <cell r="AM9">
            <v>230327</v>
          </cell>
          <cell r="AN9">
            <v>2780</v>
          </cell>
          <cell r="AO9">
            <v>1130</v>
          </cell>
          <cell r="AP9">
            <v>5248</v>
          </cell>
          <cell r="AQ9">
            <v>116166</v>
          </cell>
          <cell r="AR9">
            <v>1152927</v>
          </cell>
          <cell r="AS9">
            <v>1151989</v>
          </cell>
          <cell r="AT9">
            <v>938</v>
          </cell>
          <cell r="AU9">
            <v>278581</v>
          </cell>
          <cell r="AV9">
            <v>13793</v>
          </cell>
          <cell r="AW9">
            <v>5847</v>
          </cell>
          <cell r="AX9">
            <v>26265</v>
          </cell>
          <cell r="AY9">
            <v>79487</v>
          </cell>
          <cell r="AZ9">
            <v>8551</v>
          </cell>
          <cell r="BA9">
            <v>8995</v>
          </cell>
          <cell r="BB9">
            <v>138046</v>
          </cell>
          <cell r="BC9">
            <v>6829</v>
          </cell>
          <cell r="BD9">
            <v>6516</v>
          </cell>
          <cell r="BE9">
            <v>19858</v>
          </cell>
          <cell r="BF9">
            <v>189</v>
          </cell>
          <cell r="BG9">
            <v>30166</v>
          </cell>
          <cell r="BH9">
            <v>26176</v>
          </cell>
          <cell r="BI9">
            <v>3990</v>
          </cell>
          <cell r="BJ9">
            <v>48671</v>
          </cell>
          <cell r="BK9">
            <v>33683</v>
          </cell>
          <cell r="BL9">
            <v>14988</v>
          </cell>
          <cell r="BM9">
            <v>7466</v>
          </cell>
          <cell r="BN9">
            <v>18171</v>
          </cell>
          <cell r="BO9">
            <v>23405</v>
          </cell>
          <cell r="BP9">
            <v>6202</v>
          </cell>
          <cell r="BQ9">
            <v>54677</v>
          </cell>
          <cell r="BR9">
            <v>9927</v>
          </cell>
          <cell r="BS9">
            <v>12374</v>
          </cell>
          <cell r="BT9">
            <v>49500</v>
          </cell>
          <cell r="BU9">
            <v>10190</v>
          </cell>
          <cell r="BV9">
            <v>32497</v>
          </cell>
          <cell r="BW9">
            <v>3265</v>
          </cell>
          <cell r="BX9">
            <v>33531</v>
          </cell>
          <cell r="BY9">
            <v>9135</v>
          </cell>
          <cell r="BZ9">
            <v>219788</v>
          </cell>
          <cell r="CA9">
            <v>203749</v>
          </cell>
          <cell r="CB9">
            <v>16039</v>
          </cell>
          <cell r="CC9">
            <v>4116</v>
          </cell>
          <cell r="CD9">
            <v>5823</v>
          </cell>
          <cell r="CE9">
            <v>2760</v>
          </cell>
          <cell r="CF9">
            <v>15243</v>
          </cell>
          <cell r="CG9">
            <v>49558</v>
          </cell>
          <cell r="CH9">
            <v>6343</v>
          </cell>
          <cell r="CI9">
            <v>676678</v>
          </cell>
          <cell r="CJ9">
            <v>106730</v>
          </cell>
          <cell r="CK9">
            <v>100802</v>
          </cell>
          <cell r="CL9">
            <v>5928</v>
          </cell>
          <cell r="CM9">
            <v>10545</v>
          </cell>
          <cell r="CN9">
            <v>48041</v>
          </cell>
          <cell r="CO9">
            <v>21430</v>
          </cell>
          <cell r="CP9">
            <v>3416</v>
          </cell>
          <cell r="CQ9">
            <v>3773</v>
          </cell>
          <cell r="CR9">
            <v>1976</v>
          </cell>
          <cell r="CS9">
            <v>20699</v>
          </cell>
          <cell r="CT9">
            <v>36235</v>
          </cell>
          <cell r="CU9">
            <v>14195</v>
          </cell>
        </row>
        <row r="10">
          <cell r="A10" t="str">
            <v>Customers - Residential</v>
          </cell>
          <cell r="B10" t="str">
            <v>YNR</v>
          </cell>
          <cell r="C10">
            <v>2005</v>
          </cell>
          <cell r="D10">
            <v>1482</v>
          </cell>
          <cell r="E10">
            <v>59186</v>
          </cell>
          <cell r="F10">
            <v>30859</v>
          </cell>
          <cell r="G10">
            <v>7733</v>
          </cell>
          <cell r="H10">
            <v>32594</v>
          </cell>
          <cell r="I10">
            <v>53983</v>
          </cell>
          <cell r="J10">
            <v>12232</v>
          </cell>
          <cell r="K10">
            <v>42188</v>
          </cell>
          <cell r="L10">
            <v>13818</v>
          </cell>
          <cell r="M10">
            <v>5409</v>
          </cell>
          <cell r="N10">
            <v>1171</v>
          </cell>
          <cell r="O10">
            <v>28303</v>
          </cell>
          <cell r="P10">
            <v>0</v>
          </cell>
          <cell r="Q10">
            <v>1589</v>
          </cell>
          <cell r="R10">
            <v>495</v>
          </cell>
          <cell r="S10">
            <v>9463</v>
          </cell>
          <cell r="T10">
            <v>75921</v>
          </cell>
          <cell r="U10">
            <v>3097</v>
          </cell>
          <cell r="V10">
            <v>157897</v>
          </cell>
          <cell r="W10">
            <v>12007</v>
          </cell>
          <cell r="X10">
            <v>2843</v>
          </cell>
          <cell r="Y10">
            <v>25266</v>
          </cell>
          <cell r="Z10">
            <v>16657</v>
          </cell>
          <cell r="AA10">
            <v>3530</v>
          </cell>
          <cell r="AB10">
            <v>593</v>
          </cell>
          <cell r="AC10">
            <v>10454</v>
          </cell>
          <cell r="AD10">
            <v>41389</v>
          </cell>
          <cell r="AE10">
            <v>38606</v>
          </cell>
          <cell r="AF10">
            <v>2783</v>
          </cell>
          <cell r="AG10">
            <v>8698</v>
          </cell>
          <cell r="AH10">
            <v>51302</v>
          </cell>
          <cell r="AI10">
            <v>49781</v>
          </cell>
          <cell r="AJ10">
            <v>1521</v>
          </cell>
          <cell r="AK10">
            <v>17893</v>
          </cell>
          <cell r="AL10">
            <v>18392</v>
          </cell>
          <cell r="AM10">
            <v>208193</v>
          </cell>
          <cell r="AN10">
            <v>2344</v>
          </cell>
          <cell r="AO10">
            <v>974</v>
          </cell>
          <cell r="AP10">
            <v>4611</v>
          </cell>
          <cell r="AQ10">
            <v>107609</v>
          </cell>
          <cell r="AR10">
            <v>1044116</v>
          </cell>
          <cell r="AS10">
            <v>1043286</v>
          </cell>
          <cell r="AT10">
            <v>830</v>
          </cell>
          <cell r="AU10">
            <v>252268</v>
          </cell>
          <cell r="AV10">
            <v>12821</v>
          </cell>
          <cell r="AW10">
            <v>4993</v>
          </cell>
          <cell r="AX10">
            <v>22426</v>
          </cell>
          <cell r="AY10">
            <v>71490</v>
          </cell>
          <cell r="AZ10">
            <v>7374</v>
          </cell>
          <cell r="BA10">
            <v>7354</v>
          </cell>
          <cell r="BB10">
            <v>124638</v>
          </cell>
          <cell r="BC10">
            <v>6057</v>
          </cell>
          <cell r="BD10">
            <v>5695</v>
          </cell>
          <cell r="BE10">
            <v>17611</v>
          </cell>
          <cell r="BF10">
            <v>160</v>
          </cell>
          <cell r="BG10">
            <v>26855</v>
          </cell>
          <cell r="BH10">
            <v>23155</v>
          </cell>
          <cell r="BI10">
            <v>3700</v>
          </cell>
          <cell r="BJ10">
            <v>43068</v>
          </cell>
          <cell r="BK10">
            <v>29713</v>
          </cell>
          <cell r="BL10">
            <v>13355</v>
          </cell>
          <cell r="BM10">
            <v>6124</v>
          </cell>
          <cell r="BN10">
            <v>15905</v>
          </cell>
          <cell r="BO10">
            <v>20463</v>
          </cell>
          <cell r="BP10">
            <v>5317</v>
          </cell>
          <cell r="BQ10">
            <v>48681</v>
          </cell>
          <cell r="BR10">
            <v>8865</v>
          </cell>
          <cell r="BS10">
            <v>10848</v>
          </cell>
          <cell r="BT10">
            <v>44917</v>
          </cell>
          <cell r="BU10">
            <v>8601</v>
          </cell>
          <cell r="BV10">
            <v>28646</v>
          </cell>
          <cell r="BW10">
            <v>2612</v>
          </cell>
          <cell r="BX10">
            <v>29400</v>
          </cell>
          <cell r="BY10">
            <v>8098</v>
          </cell>
          <cell r="BZ10">
            <v>192706</v>
          </cell>
          <cell r="CA10">
            <v>178139</v>
          </cell>
          <cell r="CB10">
            <v>14567</v>
          </cell>
          <cell r="CC10">
            <v>3531</v>
          </cell>
          <cell r="CD10">
            <v>4931</v>
          </cell>
          <cell r="CE10">
            <v>2300</v>
          </cell>
          <cell r="CF10">
            <v>13469</v>
          </cell>
          <cell r="CG10">
            <v>44418</v>
          </cell>
          <cell r="CH10">
            <v>5607</v>
          </cell>
          <cell r="CI10">
            <v>597469</v>
          </cell>
          <cell r="CJ10">
            <v>96322</v>
          </cell>
          <cell r="CK10">
            <v>91114</v>
          </cell>
          <cell r="CL10">
            <v>5208</v>
          </cell>
          <cell r="CM10">
            <v>9727</v>
          </cell>
          <cell r="CN10">
            <v>42322</v>
          </cell>
          <cell r="CO10">
            <v>19321</v>
          </cell>
          <cell r="CP10">
            <v>2909</v>
          </cell>
          <cell r="CQ10">
            <v>3226</v>
          </cell>
          <cell r="CR10">
            <v>1729</v>
          </cell>
          <cell r="CS10">
            <v>18022</v>
          </cell>
          <cell r="CT10">
            <v>33870</v>
          </cell>
          <cell r="CU10">
            <v>12826</v>
          </cell>
        </row>
        <row r="11">
          <cell r="A11" t="str">
            <v>Customers - Other</v>
          </cell>
          <cell r="B11" t="str">
            <v>YNO</v>
          </cell>
          <cell r="C11">
            <v>2005</v>
          </cell>
          <cell r="D11">
            <v>283</v>
          </cell>
          <cell r="E11">
            <v>6626</v>
          </cell>
          <cell r="F11">
            <v>4349</v>
          </cell>
          <cell r="G11">
            <v>1416</v>
          </cell>
          <cell r="H11">
            <v>3392</v>
          </cell>
          <cell r="I11">
            <v>5554</v>
          </cell>
          <cell r="J11">
            <v>1892</v>
          </cell>
          <cell r="K11">
            <v>5158</v>
          </cell>
          <cell r="L11">
            <v>1412</v>
          </cell>
          <cell r="M11">
            <v>677</v>
          </cell>
          <cell r="N11">
            <v>182</v>
          </cell>
          <cell r="O11">
            <v>3652</v>
          </cell>
          <cell r="P11">
            <v>1633</v>
          </cell>
          <cell r="Q11">
            <v>202</v>
          </cell>
          <cell r="R11">
            <v>91</v>
          </cell>
          <cell r="S11">
            <v>1092</v>
          </cell>
          <cell r="T11">
            <v>8333</v>
          </cell>
          <cell r="U11">
            <v>440</v>
          </cell>
          <cell r="V11">
            <v>20243</v>
          </cell>
          <cell r="W11">
            <v>1563</v>
          </cell>
          <cell r="X11">
            <v>472</v>
          </cell>
          <cell r="Y11">
            <v>2171</v>
          </cell>
          <cell r="Z11">
            <v>2203</v>
          </cell>
          <cell r="AA11">
            <v>510</v>
          </cell>
          <cell r="AB11">
            <v>89</v>
          </cell>
          <cell r="AC11">
            <v>1003</v>
          </cell>
          <cell r="AD11">
            <v>4526</v>
          </cell>
          <cell r="AE11">
            <v>4208</v>
          </cell>
          <cell r="AF11">
            <v>318</v>
          </cell>
          <cell r="AG11">
            <v>832</v>
          </cell>
          <cell r="AH11">
            <v>4875</v>
          </cell>
          <cell r="AI11">
            <v>4739</v>
          </cell>
          <cell r="AJ11">
            <v>136</v>
          </cell>
          <cell r="AK11">
            <v>2569</v>
          </cell>
          <cell r="AL11">
            <v>1481</v>
          </cell>
          <cell r="AM11">
            <v>22134</v>
          </cell>
          <cell r="AN11">
            <v>436</v>
          </cell>
          <cell r="AO11">
            <v>156</v>
          </cell>
          <cell r="AP11">
            <v>637</v>
          </cell>
          <cell r="AQ11">
            <v>8557</v>
          </cell>
          <cell r="AR11">
            <v>108811</v>
          </cell>
          <cell r="AS11">
            <v>108703</v>
          </cell>
          <cell r="AT11">
            <v>108</v>
          </cell>
          <cell r="AU11">
            <v>26313</v>
          </cell>
          <cell r="AV11">
            <v>972</v>
          </cell>
          <cell r="AW11">
            <v>854</v>
          </cell>
          <cell r="AX11">
            <v>3839</v>
          </cell>
          <cell r="AY11">
            <v>7997</v>
          </cell>
          <cell r="AZ11">
            <v>1177</v>
          </cell>
          <cell r="BA11">
            <v>1641</v>
          </cell>
          <cell r="BB11">
            <v>13408</v>
          </cell>
          <cell r="BC11">
            <v>772</v>
          </cell>
          <cell r="BD11">
            <v>821</v>
          </cell>
          <cell r="BE11">
            <v>2247</v>
          </cell>
          <cell r="BF11">
            <v>29</v>
          </cell>
          <cell r="BG11">
            <v>3311</v>
          </cell>
          <cell r="BH11">
            <v>3021</v>
          </cell>
          <cell r="BI11">
            <v>290</v>
          </cell>
          <cell r="BJ11">
            <v>5603</v>
          </cell>
          <cell r="BK11">
            <v>3970</v>
          </cell>
          <cell r="BL11">
            <v>1633</v>
          </cell>
          <cell r="BM11">
            <v>1342</v>
          </cell>
          <cell r="BN11">
            <v>2266</v>
          </cell>
          <cell r="BO11">
            <v>2942</v>
          </cell>
          <cell r="BP11">
            <v>885</v>
          </cell>
          <cell r="BQ11">
            <v>5996</v>
          </cell>
          <cell r="BR11">
            <v>1062</v>
          </cell>
          <cell r="BS11">
            <v>1526</v>
          </cell>
          <cell r="BT11">
            <v>4583</v>
          </cell>
          <cell r="BU11">
            <v>1589</v>
          </cell>
          <cell r="BV11">
            <v>3851</v>
          </cell>
          <cell r="BW11">
            <v>653</v>
          </cell>
          <cell r="BX11">
            <v>4131</v>
          </cell>
          <cell r="BY11">
            <v>1037</v>
          </cell>
          <cell r="BZ11">
            <v>27082</v>
          </cell>
          <cell r="CA11">
            <v>25610</v>
          </cell>
          <cell r="CB11">
            <v>1472</v>
          </cell>
          <cell r="CC11">
            <v>585</v>
          </cell>
          <cell r="CD11">
            <v>892</v>
          </cell>
          <cell r="CE11">
            <v>460</v>
          </cell>
          <cell r="CF11">
            <v>1774</v>
          </cell>
          <cell r="CG11">
            <v>5140</v>
          </cell>
          <cell r="CH11">
            <v>736</v>
          </cell>
          <cell r="CI11">
            <v>79209</v>
          </cell>
          <cell r="CJ11">
            <v>10408</v>
          </cell>
          <cell r="CK11">
            <v>9688</v>
          </cell>
          <cell r="CL11">
            <v>720</v>
          </cell>
          <cell r="CM11">
            <v>818</v>
          </cell>
          <cell r="CN11">
            <v>5719</v>
          </cell>
          <cell r="CO11">
            <v>2109</v>
          </cell>
          <cell r="CP11">
            <v>507</v>
          </cell>
          <cell r="CQ11">
            <v>547</v>
          </cell>
          <cell r="CR11">
            <v>247</v>
          </cell>
          <cell r="CS11">
            <v>2677</v>
          </cell>
          <cell r="CT11">
            <v>2365</v>
          </cell>
          <cell r="CU11">
            <v>1369</v>
          </cell>
        </row>
        <row r="12">
          <cell r="A12" t="str">
            <v>kWh</v>
          </cell>
          <cell r="B12" t="str">
            <v>YV</v>
          </cell>
          <cell r="C12">
            <v>2005</v>
          </cell>
          <cell r="D12">
            <v>45002145</v>
          </cell>
          <cell r="E12">
            <v>1486446616</v>
          </cell>
          <cell r="F12">
            <v>1154632630</v>
          </cell>
          <cell r="G12">
            <v>220596967</v>
          </cell>
          <cell r="H12">
            <v>931155703</v>
          </cell>
          <cell r="I12">
            <v>1810325433</v>
          </cell>
          <cell r="J12">
            <v>353069346</v>
          </cell>
          <cell r="K12">
            <v>1627497173</v>
          </cell>
          <cell r="L12">
            <v>288717399</v>
          </cell>
          <cell r="M12">
            <v>160523822</v>
          </cell>
          <cell r="N12">
            <v>29440248</v>
          </cell>
          <cell r="O12">
            <v>946838236</v>
          </cell>
          <cell r="P12">
            <v>19730932</v>
          </cell>
          <cell r="Q12">
            <v>30467427</v>
          </cell>
          <cell r="R12">
            <v>8972237</v>
          </cell>
          <cell r="S12">
            <v>188200406</v>
          </cell>
          <cell r="T12">
            <v>961633772</v>
          </cell>
          <cell r="U12">
            <v>86515635</v>
          </cell>
          <cell r="V12">
            <v>8316326455</v>
          </cell>
          <cell r="W12">
            <v>396180246</v>
          </cell>
          <cell r="X12">
            <v>65748316</v>
          </cell>
          <cell r="Y12">
            <v>590255414</v>
          </cell>
          <cell r="Z12">
            <v>632444846</v>
          </cell>
          <cell r="AA12">
            <v>45760156</v>
          </cell>
          <cell r="AB12">
            <v>9244178</v>
          </cell>
          <cell r="AC12">
            <v>92629060</v>
          </cell>
          <cell r="AD12">
            <v>957243410</v>
          </cell>
          <cell r="AE12">
            <v>897742616</v>
          </cell>
          <cell r="AF12">
            <v>59500794</v>
          </cell>
          <cell r="AG12">
            <v>182318202.77000001</v>
          </cell>
          <cell r="AH12">
            <v>1624508601</v>
          </cell>
          <cell r="AI12">
            <v>1607712564</v>
          </cell>
          <cell r="AJ12">
            <v>16796037</v>
          </cell>
          <cell r="AK12">
            <v>373431336</v>
          </cell>
          <cell r="AL12">
            <v>483654085</v>
          </cell>
          <cell r="AM12">
            <v>5648818655.8400002</v>
          </cell>
          <cell r="AN12">
            <v>121037860</v>
          </cell>
          <cell r="AO12">
            <v>26270838</v>
          </cell>
          <cell r="AP12">
            <v>199656293.83000001</v>
          </cell>
          <cell r="AQ12">
            <v>3848132954.5300002</v>
          </cell>
          <cell r="AR12">
            <v>22976809392</v>
          </cell>
          <cell r="AS12">
            <v>22958378000</v>
          </cell>
          <cell r="AT12">
            <v>18431392</v>
          </cell>
          <cell r="AU12">
            <v>7663197036</v>
          </cell>
          <cell r="AV12">
            <v>193008478</v>
          </cell>
          <cell r="AW12">
            <v>112447624</v>
          </cell>
          <cell r="AX12">
            <v>730565274</v>
          </cell>
          <cell r="AY12">
            <v>2096185970</v>
          </cell>
          <cell r="AZ12">
            <v>282135179</v>
          </cell>
          <cell r="BA12">
            <v>130465148</v>
          </cell>
          <cell r="BB12">
            <v>3429289369</v>
          </cell>
          <cell r="BC12">
            <v>286255815</v>
          </cell>
          <cell r="BD12">
            <v>233239876</v>
          </cell>
          <cell r="BE12">
            <v>546558100</v>
          </cell>
          <cell r="BF12">
            <v>4251407</v>
          </cell>
          <cell r="BG12">
            <v>384947379</v>
          </cell>
          <cell r="BH12">
            <v>342344275</v>
          </cell>
          <cell r="BI12">
            <v>42603104</v>
          </cell>
          <cell r="BJ12">
            <v>1288232430</v>
          </cell>
          <cell r="BK12">
            <v>916344131</v>
          </cell>
          <cell r="BL12">
            <v>371888299</v>
          </cell>
          <cell r="BM12">
            <v>179455433</v>
          </cell>
          <cell r="BN12">
            <v>359438988.14999998</v>
          </cell>
          <cell r="BO12">
            <v>598747463</v>
          </cell>
          <cell r="BP12">
            <v>134684870.25999999</v>
          </cell>
          <cell r="BQ12">
            <v>1650320458</v>
          </cell>
          <cell r="BR12">
            <v>250828291</v>
          </cell>
          <cell r="BS12">
            <v>323017339</v>
          </cell>
          <cell r="BT12">
            <v>1128827182</v>
          </cell>
          <cell r="BU12">
            <v>200891724</v>
          </cell>
          <cell r="BV12">
            <v>717784001</v>
          </cell>
          <cell r="BW12">
            <v>93693596</v>
          </cell>
          <cell r="BX12">
            <v>822852234</v>
          </cell>
          <cell r="BY12">
            <v>189633718</v>
          </cell>
          <cell r="BZ12">
            <v>6839843019</v>
          </cell>
          <cell r="CA12">
            <v>6405015772</v>
          </cell>
          <cell r="CB12">
            <v>434827247</v>
          </cell>
          <cell r="CC12">
            <v>98424070</v>
          </cell>
          <cell r="CD12">
            <v>123510432</v>
          </cell>
          <cell r="CE12">
            <v>94428257.5</v>
          </cell>
          <cell r="CF12">
            <v>376178610</v>
          </cell>
          <cell r="CG12">
            <v>1054662883</v>
          </cell>
          <cell r="CH12">
            <v>235792985.46999997</v>
          </cell>
          <cell r="CI12">
            <v>26372168650</v>
          </cell>
          <cell r="CJ12">
            <v>2554393866</v>
          </cell>
          <cell r="CK12">
            <v>2460918603</v>
          </cell>
          <cell r="CL12">
            <v>93475263</v>
          </cell>
          <cell r="CM12">
            <v>105073227.97</v>
          </cell>
          <cell r="CN12">
            <v>1304073193</v>
          </cell>
          <cell r="CO12">
            <v>522014198</v>
          </cell>
          <cell r="CP12">
            <v>92239845</v>
          </cell>
          <cell r="CQ12">
            <v>150869466.86000001</v>
          </cell>
          <cell r="CR12">
            <v>62217604</v>
          </cell>
          <cell r="CS12">
            <v>363910371</v>
          </cell>
          <cell r="CT12">
            <v>423047546</v>
          </cell>
          <cell r="CU12">
            <v>435838216</v>
          </cell>
        </row>
        <row r="13">
          <cell r="A13" t="str">
            <v>kWh - Residential</v>
          </cell>
          <cell r="B13" t="str">
            <v>YVR</v>
          </cell>
          <cell r="C13">
            <v>2005</v>
          </cell>
          <cell r="D13">
            <v>11569234</v>
          </cell>
          <cell r="E13">
            <v>542827565</v>
          </cell>
          <cell r="F13">
            <v>273364168</v>
          </cell>
          <cell r="G13">
            <v>81427290</v>
          </cell>
          <cell r="H13">
            <v>267429851</v>
          </cell>
          <cell r="I13">
            <v>583725346</v>
          </cell>
          <cell r="J13">
            <v>119652548</v>
          </cell>
          <cell r="K13">
            <v>402124758</v>
          </cell>
          <cell r="L13">
            <v>110810182</v>
          </cell>
          <cell r="M13">
            <v>47935426</v>
          </cell>
          <cell r="N13">
            <v>15211690</v>
          </cell>
          <cell r="O13">
            <v>267121761</v>
          </cell>
          <cell r="P13">
            <v>0</v>
          </cell>
          <cell r="Q13">
            <v>20161977</v>
          </cell>
          <cell r="R13">
            <v>4976691</v>
          </cell>
          <cell r="S13">
            <v>97150870</v>
          </cell>
          <cell r="T13">
            <v>708455513</v>
          </cell>
          <cell r="U13">
            <v>29392189</v>
          </cell>
          <cell r="V13">
            <v>1702721148</v>
          </cell>
          <cell r="W13">
            <v>136114023</v>
          </cell>
          <cell r="X13">
            <v>33696585</v>
          </cell>
          <cell r="Y13">
            <v>290492846</v>
          </cell>
          <cell r="Z13">
            <v>147667028</v>
          </cell>
          <cell r="AA13">
            <v>45702800</v>
          </cell>
          <cell r="AB13">
            <v>5874838</v>
          </cell>
          <cell r="AC13">
            <v>92524010</v>
          </cell>
          <cell r="AD13">
            <v>408838126</v>
          </cell>
          <cell r="AE13">
            <v>379532699</v>
          </cell>
          <cell r="AF13">
            <v>29305427</v>
          </cell>
          <cell r="AG13">
            <v>96245989.75</v>
          </cell>
          <cell r="AH13">
            <v>354888035</v>
          </cell>
          <cell r="AI13">
            <v>341291161</v>
          </cell>
          <cell r="AJ13">
            <v>13596874</v>
          </cell>
          <cell r="AK13">
            <v>181464306</v>
          </cell>
          <cell r="AL13">
            <v>210303787</v>
          </cell>
          <cell r="AM13">
            <v>1767536174</v>
          </cell>
          <cell r="AN13">
            <v>28856113</v>
          </cell>
          <cell r="AO13">
            <v>14960327</v>
          </cell>
          <cell r="AP13">
            <v>54972595.310000002</v>
          </cell>
          <cell r="AQ13">
            <v>1104270425</v>
          </cell>
          <cell r="AR13">
            <v>12728099230</v>
          </cell>
          <cell r="AS13">
            <v>12717781000</v>
          </cell>
          <cell r="AT13">
            <v>10318230</v>
          </cell>
          <cell r="AU13">
            <v>2358151590</v>
          </cell>
          <cell r="AV13">
            <v>163178241</v>
          </cell>
          <cell r="AW13">
            <v>42160183</v>
          </cell>
          <cell r="AX13">
            <v>203351921</v>
          </cell>
          <cell r="AY13">
            <v>659625447</v>
          </cell>
          <cell r="AZ13">
            <v>75304918</v>
          </cell>
          <cell r="BA13">
            <v>82285609</v>
          </cell>
          <cell r="BB13">
            <v>1149377750</v>
          </cell>
          <cell r="BC13">
            <v>176126892</v>
          </cell>
          <cell r="BD13">
            <v>48370213</v>
          </cell>
          <cell r="BE13">
            <v>195066759</v>
          </cell>
          <cell r="BF13">
            <v>1714697</v>
          </cell>
          <cell r="BG13">
            <v>279763637</v>
          </cell>
          <cell r="BH13">
            <v>243141981</v>
          </cell>
          <cell r="BI13">
            <v>36621656</v>
          </cell>
          <cell r="BJ13">
            <v>491238460</v>
          </cell>
          <cell r="BK13">
            <v>284433553</v>
          </cell>
          <cell r="BL13">
            <v>206804907</v>
          </cell>
          <cell r="BM13">
            <v>67693051</v>
          </cell>
          <cell r="BN13">
            <v>144724830</v>
          </cell>
          <cell r="BO13">
            <v>215924636</v>
          </cell>
          <cell r="BP13">
            <v>52006839.219999999</v>
          </cell>
          <cell r="BQ13">
            <v>582122828</v>
          </cell>
          <cell r="BR13">
            <v>85230972</v>
          </cell>
          <cell r="BS13">
            <v>110976692</v>
          </cell>
          <cell r="BT13">
            <v>485942543</v>
          </cell>
          <cell r="BU13">
            <v>78865660</v>
          </cell>
          <cell r="BV13">
            <v>347274259</v>
          </cell>
          <cell r="BW13">
            <v>36691794</v>
          </cell>
          <cell r="BX13">
            <v>297081386</v>
          </cell>
          <cell r="BY13">
            <v>65358453</v>
          </cell>
          <cell r="BZ13">
            <v>2041954318</v>
          </cell>
          <cell r="CA13">
            <v>1879783570</v>
          </cell>
          <cell r="CB13">
            <v>162170748</v>
          </cell>
          <cell r="CC13">
            <v>32131824</v>
          </cell>
          <cell r="CD13">
            <v>46192526</v>
          </cell>
          <cell r="CE13">
            <v>32820792</v>
          </cell>
          <cell r="CF13">
            <v>117918983</v>
          </cell>
          <cell r="CG13">
            <v>357638570</v>
          </cell>
          <cell r="CH13">
            <v>55742813.189999998</v>
          </cell>
          <cell r="CI13">
            <v>5724299075</v>
          </cell>
          <cell r="CJ13">
            <v>962156040</v>
          </cell>
          <cell r="CK13">
            <v>915611860</v>
          </cell>
          <cell r="CL13">
            <v>46544180</v>
          </cell>
          <cell r="CM13">
            <v>74670218.299999997</v>
          </cell>
          <cell r="CN13">
            <v>408066674</v>
          </cell>
          <cell r="CO13">
            <v>179182296</v>
          </cell>
          <cell r="CP13">
            <v>25217181</v>
          </cell>
          <cell r="CQ13">
            <v>27719584</v>
          </cell>
          <cell r="CR13">
            <v>17044279</v>
          </cell>
          <cell r="CS13">
            <v>188311417</v>
          </cell>
          <cell r="CT13">
            <v>347571675</v>
          </cell>
          <cell r="CU13">
            <v>114732006</v>
          </cell>
        </row>
        <row r="14">
          <cell r="A14" t="str">
            <v>kWh - Other</v>
          </cell>
          <cell r="B14" t="str">
            <v>YVO</v>
          </cell>
          <cell r="C14">
            <v>2005</v>
          </cell>
          <cell r="D14">
            <v>33432911</v>
          </cell>
          <cell r="E14">
            <v>943619051</v>
          </cell>
          <cell r="F14">
            <v>881268462</v>
          </cell>
          <cell r="G14">
            <v>139169677</v>
          </cell>
          <cell r="H14">
            <v>663725852</v>
          </cell>
          <cell r="I14">
            <v>1226600087</v>
          </cell>
          <cell r="J14">
            <v>233416798</v>
          </cell>
          <cell r="K14">
            <v>1225372415</v>
          </cell>
          <cell r="L14">
            <v>177907217</v>
          </cell>
          <cell r="M14">
            <v>112588396</v>
          </cell>
          <cell r="N14">
            <v>14228558</v>
          </cell>
          <cell r="O14">
            <v>679716475</v>
          </cell>
          <cell r="P14">
            <v>19730932</v>
          </cell>
          <cell r="Q14">
            <v>10305450</v>
          </cell>
          <cell r="R14">
            <v>3995546</v>
          </cell>
          <cell r="S14">
            <v>91049536</v>
          </cell>
          <cell r="T14">
            <v>253178259</v>
          </cell>
          <cell r="U14">
            <v>57123446</v>
          </cell>
          <cell r="V14">
            <v>6613605307</v>
          </cell>
          <cell r="W14">
            <v>260066223</v>
          </cell>
          <cell r="X14">
            <v>32051731</v>
          </cell>
          <cell r="Y14">
            <v>299762568</v>
          </cell>
          <cell r="Z14">
            <v>484777818</v>
          </cell>
          <cell r="AA14">
            <v>57356</v>
          </cell>
          <cell r="AB14">
            <v>3369340</v>
          </cell>
          <cell r="AC14">
            <v>105050</v>
          </cell>
          <cell r="AD14">
            <v>548405284</v>
          </cell>
          <cell r="AE14">
            <v>518209917</v>
          </cell>
          <cell r="AF14">
            <v>30195367</v>
          </cell>
          <cell r="AG14">
            <v>86072213.020000011</v>
          </cell>
          <cell r="AH14">
            <v>1269620566</v>
          </cell>
          <cell r="AI14">
            <v>1266421403</v>
          </cell>
          <cell r="AJ14">
            <v>3199163</v>
          </cell>
          <cell r="AK14">
            <v>191967030</v>
          </cell>
          <cell r="AL14">
            <v>273350298</v>
          </cell>
          <cell r="AM14">
            <v>3881282481.8400002</v>
          </cell>
          <cell r="AN14">
            <v>92181747</v>
          </cell>
          <cell r="AO14">
            <v>11310511</v>
          </cell>
          <cell r="AP14">
            <v>144683698.52000001</v>
          </cell>
          <cell r="AQ14">
            <v>2743862529.5300002</v>
          </cell>
          <cell r="AR14">
            <v>10248710162</v>
          </cell>
          <cell r="AS14">
            <v>10240597000</v>
          </cell>
          <cell r="AT14">
            <v>8113162</v>
          </cell>
          <cell r="AU14">
            <v>5305045446</v>
          </cell>
          <cell r="AV14">
            <v>29830237</v>
          </cell>
          <cell r="AW14">
            <v>70287441</v>
          </cell>
          <cell r="AX14">
            <v>527213353</v>
          </cell>
          <cell r="AY14">
            <v>1436560523</v>
          </cell>
          <cell r="AZ14">
            <v>206830261</v>
          </cell>
          <cell r="BA14">
            <v>48179539</v>
          </cell>
          <cell r="BB14">
            <v>2279911619</v>
          </cell>
          <cell r="BC14">
            <v>110128923</v>
          </cell>
          <cell r="BD14">
            <v>184869663</v>
          </cell>
          <cell r="BE14">
            <v>351491341</v>
          </cell>
          <cell r="BF14">
            <v>2536710</v>
          </cell>
          <cell r="BG14">
            <v>105183742</v>
          </cell>
          <cell r="BH14">
            <v>99202294</v>
          </cell>
          <cell r="BI14">
            <v>5981448</v>
          </cell>
          <cell r="BJ14">
            <v>796993970</v>
          </cell>
          <cell r="BK14">
            <v>631910578</v>
          </cell>
          <cell r="BL14">
            <v>165083392</v>
          </cell>
          <cell r="BM14">
            <v>111762382</v>
          </cell>
          <cell r="BN14">
            <v>214714158.14999998</v>
          </cell>
          <cell r="BO14">
            <v>382822827</v>
          </cell>
          <cell r="BP14">
            <v>82678031.039999992</v>
          </cell>
          <cell r="BQ14">
            <v>1068197630</v>
          </cell>
          <cell r="BR14">
            <v>165597319</v>
          </cell>
          <cell r="BS14">
            <v>212040647</v>
          </cell>
          <cell r="BT14">
            <v>642884639</v>
          </cell>
          <cell r="BU14">
            <v>122026064</v>
          </cell>
          <cell r="BV14">
            <v>370509742</v>
          </cell>
          <cell r="BW14">
            <v>57001802</v>
          </cell>
          <cell r="BX14">
            <v>525770848</v>
          </cell>
          <cell r="BY14">
            <v>124275265</v>
          </cell>
          <cell r="BZ14">
            <v>4797888701</v>
          </cell>
          <cell r="CA14">
            <v>4525232202</v>
          </cell>
          <cell r="CB14">
            <v>272656499</v>
          </cell>
          <cell r="CC14">
            <v>66292246</v>
          </cell>
          <cell r="CD14">
            <v>77317906</v>
          </cell>
          <cell r="CE14">
            <v>61607465.5</v>
          </cell>
          <cell r="CF14">
            <v>258259627</v>
          </cell>
          <cell r="CG14">
            <v>697024313</v>
          </cell>
          <cell r="CH14">
            <v>180050172.27999997</v>
          </cell>
          <cell r="CI14">
            <v>20647869575</v>
          </cell>
          <cell r="CJ14">
            <v>1592237826</v>
          </cell>
          <cell r="CK14">
            <v>1545306743</v>
          </cell>
          <cell r="CL14">
            <v>46931083</v>
          </cell>
          <cell r="CM14">
            <v>30403009.670000002</v>
          </cell>
          <cell r="CN14">
            <v>896006519</v>
          </cell>
          <cell r="CO14">
            <v>342831902</v>
          </cell>
          <cell r="CP14">
            <v>67022664</v>
          </cell>
          <cell r="CQ14">
            <v>123149882.86000001</v>
          </cell>
          <cell r="CR14">
            <v>45173325</v>
          </cell>
          <cell r="CS14">
            <v>175598954</v>
          </cell>
          <cell r="CT14">
            <v>75475871</v>
          </cell>
          <cell r="CU14">
            <v>321106210</v>
          </cell>
        </row>
        <row r="15">
          <cell r="A15" t="str">
            <v>kW</v>
          </cell>
          <cell r="B15" t="str">
            <v>YD</v>
          </cell>
          <cell r="C15">
            <v>2005</v>
          </cell>
          <cell r="D15">
            <v>55559</v>
          </cell>
          <cell r="E15">
            <v>1907707</v>
          </cell>
          <cell r="F15">
            <v>1541743</v>
          </cell>
          <cell r="G15">
            <v>493405</v>
          </cell>
          <cell r="H15">
            <v>1461810</v>
          </cell>
          <cell r="I15">
            <v>2539571</v>
          </cell>
          <cell r="J15">
            <v>442668</v>
          </cell>
          <cell r="K15">
            <v>2596896</v>
          </cell>
          <cell r="L15">
            <v>386143</v>
          </cell>
          <cell r="M15">
            <v>223349</v>
          </cell>
          <cell r="N15">
            <v>22788</v>
          </cell>
          <cell r="O15">
            <v>1374784</v>
          </cell>
          <cell r="P15">
            <v>10029</v>
          </cell>
          <cell r="Q15">
            <v>15285</v>
          </cell>
          <cell r="R15">
            <v>0</v>
          </cell>
          <cell r="S15">
            <v>0</v>
          </cell>
          <cell r="T15">
            <v>4894173</v>
          </cell>
          <cell r="U15">
            <v>109050</v>
          </cell>
          <cell r="V15">
            <v>0</v>
          </cell>
          <cell r="W15">
            <v>523594</v>
          </cell>
          <cell r="X15">
            <v>38980</v>
          </cell>
          <cell r="Y15">
            <v>533424</v>
          </cell>
          <cell r="Z15">
            <v>976615</v>
          </cell>
          <cell r="AA15">
            <v>51537069</v>
          </cell>
          <cell r="AB15">
            <v>5759</v>
          </cell>
          <cell r="AC15">
            <v>106906699</v>
          </cell>
          <cell r="AD15">
            <v>1034165</v>
          </cell>
          <cell r="AE15">
            <v>925136</v>
          </cell>
          <cell r="AF15">
            <v>109029</v>
          </cell>
          <cell r="AG15">
            <v>179329</v>
          </cell>
          <cell r="AH15">
            <v>2490044</v>
          </cell>
          <cell r="AI15">
            <v>2489521</v>
          </cell>
          <cell r="AJ15">
            <v>523</v>
          </cell>
          <cell r="AK15">
            <v>389535</v>
          </cell>
          <cell r="AL15">
            <v>748518</v>
          </cell>
          <cell r="AM15">
            <v>9598466</v>
          </cell>
          <cell r="AN15">
            <v>175320</v>
          </cell>
          <cell r="AO15">
            <v>13210</v>
          </cell>
          <cell r="AP15">
            <v>278292</v>
          </cell>
          <cell r="AQ15">
            <v>5650821</v>
          </cell>
          <cell r="AR15">
            <v>24836426</v>
          </cell>
          <cell r="AS15">
            <v>24821262</v>
          </cell>
          <cell r="AT15">
            <v>15164</v>
          </cell>
          <cell r="AU15">
            <v>10246631</v>
          </cell>
          <cell r="AV15">
            <v>126359</v>
          </cell>
          <cell r="AW15">
            <v>150139</v>
          </cell>
          <cell r="AX15">
            <v>981195</v>
          </cell>
          <cell r="AY15">
            <v>2831785</v>
          </cell>
          <cell r="AZ15">
            <v>261293</v>
          </cell>
          <cell r="BA15">
            <v>223472</v>
          </cell>
          <cell r="BB15">
            <v>4553209</v>
          </cell>
          <cell r="BC15">
            <v>303380</v>
          </cell>
          <cell r="BD15">
            <v>360616</v>
          </cell>
          <cell r="BE15">
            <v>94292501</v>
          </cell>
          <cell r="BF15">
            <v>8622</v>
          </cell>
          <cell r="BG15">
            <v>859957</v>
          </cell>
          <cell r="BH15">
            <v>851246</v>
          </cell>
          <cell r="BI15">
            <v>8711</v>
          </cell>
          <cell r="BJ15">
            <v>7813208</v>
          </cell>
          <cell r="BK15">
            <v>7380152</v>
          </cell>
          <cell r="BL15">
            <v>433056</v>
          </cell>
          <cell r="BM15">
            <v>186682</v>
          </cell>
          <cell r="BN15">
            <v>378506</v>
          </cell>
          <cell r="BO15">
            <v>807264</v>
          </cell>
          <cell r="BP15">
            <v>165364</v>
          </cell>
          <cell r="BQ15">
            <v>2231057</v>
          </cell>
          <cell r="BR15">
            <v>297196</v>
          </cell>
          <cell r="BS15">
            <v>404421</v>
          </cell>
          <cell r="BT15">
            <v>1234902</v>
          </cell>
          <cell r="BU15">
            <v>216433</v>
          </cell>
          <cell r="BV15">
            <v>704274</v>
          </cell>
          <cell r="BW15">
            <v>0</v>
          </cell>
          <cell r="BX15">
            <v>920151</v>
          </cell>
          <cell r="BY15">
            <v>371413</v>
          </cell>
          <cell r="BZ15">
            <v>9672781</v>
          </cell>
          <cell r="CA15">
            <v>9211551</v>
          </cell>
          <cell r="CB15">
            <v>461230</v>
          </cell>
          <cell r="CC15">
            <v>150279</v>
          </cell>
          <cell r="CD15">
            <v>143455</v>
          </cell>
          <cell r="CE15">
            <v>105723</v>
          </cell>
          <cell r="CF15">
            <v>0</v>
          </cell>
          <cell r="CG15">
            <v>1475643</v>
          </cell>
          <cell r="CH15">
            <v>352579</v>
          </cell>
          <cell r="CI15">
            <v>43747648</v>
          </cell>
          <cell r="CJ15">
            <v>3017486</v>
          </cell>
          <cell r="CK15">
            <v>2939178</v>
          </cell>
          <cell r="CL15">
            <v>78308</v>
          </cell>
          <cell r="CM15">
            <v>47169</v>
          </cell>
          <cell r="CN15">
            <v>1777889</v>
          </cell>
          <cell r="CO15">
            <v>729471</v>
          </cell>
          <cell r="CP15">
            <v>145144</v>
          </cell>
          <cell r="CQ15">
            <v>239458</v>
          </cell>
          <cell r="CR15">
            <v>82490</v>
          </cell>
          <cell r="CS15">
            <v>0</v>
          </cell>
          <cell r="CT15">
            <v>1019212</v>
          </cell>
          <cell r="CU15">
            <v>588541</v>
          </cell>
        </row>
        <row r="16">
          <cell r="A16" t="str">
            <v>kW - Residential</v>
          </cell>
          <cell r="B16" t="str">
            <v>YDR</v>
          </cell>
          <cell r="C16">
            <v>2005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row>
        <row r="17">
          <cell r="A17" t="str">
            <v>kW - Other</v>
          </cell>
          <cell r="B17" t="str">
            <v>YDO</v>
          </cell>
          <cell r="C17">
            <v>2005</v>
          </cell>
          <cell r="D17">
            <v>55559</v>
          </cell>
          <cell r="E17">
            <v>1907707</v>
          </cell>
          <cell r="F17">
            <v>1541743</v>
          </cell>
          <cell r="G17">
            <v>493405</v>
          </cell>
          <cell r="H17">
            <v>1461810</v>
          </cell>
          <cell r="I17">
            <v>2539571</v>
          </cell>
          <cell r="J17">
            <v>442668</v>
          </cell>
          <cell r="K17">
            <v>2596896</v>
          </cell>
          <cell r="L17">
            <v>386143</v>
          </cell>
          <cell r="M17">
            <v>223349</v>
          </cell>
          <cell r="N17">
            <v>22788</v>
          </cell>
          <cell r="O17">
            <v>1374784</v>
          </cell>
          <cell r="P17">
            <v>10029</v>
          </cell>
          <cell r="Q17">
            <v>15285</v>
          </cell>
          <cell r="R17">
            <v>0</v>
          </cell>
          <cell r="S17">
            <v>0</v>
          </cell>
          <cell r="T17">
            <v>4894173</v>
          </cell>
          <cell r="U17">
            <v>109050</v>
          </cell>
          <cell r="V17">
            <v>0</v>
          </cell>
          <cell r="W17">
            <v>523594</v>
          </cell>
          <cell r="X17">
            <v>38980</v>
          </cell>
          <cell r="Y17">
            <v>533424</v>
          </cell>
          <cell r="Z17">
            <v>976615</v>
          </cell>
          <cell r="AA17">
            <v>51537069</v>
          </cell>
          <cell r="AB17">
            <v>5759</v>
          </cell>
          <cell r="AC17">
            <v>106906699</v>
          </cell>
          <cell r="AD17">
            <v>1034165</v>
          </cell>
          <cell r="AE17">
            <v>925136</v>
          </cell>
          <cell r="AF17">
            <v>109029</v>
          </cell>
          <cell r="AG17">
            <v>179329</v>
          </cell>
          <cell r="AH17">
            <v>2490044</v>
          </cell>
          <cell r="AI17">
            <v>2489521</v>
          </cell>
          <cell r="AJ17">
            <v>523</v>
          </cell>
          <cell r="AK17">
            <v>389535</v>
          </cell>
          <cell r="AL17">
            <v>748518</v>
          </cell>
          <cell r="AM17">
            <v>9598466</v>
          </cell>
          <cell r="AN17">
            <v>175320</v>
          </cell>
          <cell r="AO17">
            <v>13210</v>
          </cell>
          <cell r="AP17">
            <v>278292</v>
          </cell>
          <cell r="AQ17">
            <v>5650821</v>
          </cell>
          <cell r="AR17">
            <v>24836426</v>
          </cell>
          <cell r="AS17">
            <v>24821262</v>
          </cell>
          <cell r="AT17">
            <v>15164</v>
          </cell>
          <cell r="AU17">
            <v>10246631</v>
          </cell>
          <cell r="AV17">
            <v>126359</v>
          </cell>
          <cell r="AW17">
            <v>150139</v>
          </cell>
          <cell r="AX17">
            <v>981195</v>
          </cell>
          <cell r="AY17">
            <v>2831785</v>
          </cell>
          <cell r="AZ17">
            <v>261293</v>
          </cell>
          <cell r="BA17">
            <v>223472</v>
          </cell>
          <cell r="BB17">
            <v>4553209</v>
          </cell>
          <cell r="BC17">
            <v>303380</v>
          </cell>
          <cell r="BD17">
            <v>360616</v>
          </cell>
          <cell r="BE17">
            <v>94292501</v>
          </cell>
          <cell r="BF17">
            <v>8622</v>
          </cell>
          <cell r="BG17">
            <v>859957</v>
          </cell>
          <cell r="BH17">
            <v>851246</v>
          </cell>
          <cell r="BI17">
            <v>8711</v>
          </cell>
          <cell r="BJ17">
            <v>7813208</v>
          </cell>
          <cell r="BK17">
            <v>7380152</v>
          </cell>
          <cell r="BL17">
            <v>433056</v>
          </cell>
          <cell r="BM17">
            <v>186682</v>
          </cell>
          <cell r="BN17">
            <v>378506</v>
          </cell>
          <cell r="BO17">
            <v>807264</v>
          </cell>
          <cell r="BP17">
            <v>165364</v>
          </cell>
          <cell r="BQ17">
            <v>2231057</v>
          </cell>
          <cell r="BR17">
            <v>297196</v>
          </cell>
          <cell r="BS17">
            <v>404421</v>
          </cell>
          <cell r="BT17">
            <v>1234902</v>
          </cell>
          <cell r="BU17">
            <v>216433</v>
          </cell>
          <cell r="BV17">
            <v>704274</v>
          </cell>
          <cell r="BW17">
            <v>0</v>
          </cell>
          <cell r="BX17">
            <v>920151</v>
          </cell>
          <cell r="BY17">
            <v>371413</v>
          </cell>
          <cell r="BZ17">
            <v>9672781</v>
          </cell>
          <cell r="CA17">
            <v>9211551</v>
          </cell>
          <cell r="CB17">
            <v>461230</v>
          </cell>
          <cell r="CC17">
            <v>150279</v>
          </cell>
          <cell r="CD17">
            <v>143455</v>
          </cell>
          <cell r="CE17">
            <v>105723</v>
          </cell>
          <cell r="CF17">
            <v>0</v>
          </cell>
          <cell r="CG17">
            <v>1475643</v>
          </cell>
          <cell r="CH17">
            <v>352579</v>
          </cell>
          <cell r="CI17">
            <v>43747648</v>
          </cell>
          <cell r="CJ17">
            <v>3017486</v>
          </cell>
          <cell r="CK17">
            <v>2939178</v>
          </cell>
          <cell r="CL17">
            <v>78308</v>
          </cell>
          <cell r="CM17">
            <v>47169</v>
          </cell>
          <cell r="CN17">
            <v>1777889</v>
          </cell>
          <cell r="CO17">
            <v>729471</v>
          </cell>
          <cell r="CP17">
            <v>145144</v>
          </cell>
          <cell r="CQ17">
            <v>239458</v>
          </cell>
          <cell r="CR17">
            <v>82490</v>
          </cell>
          <cell r="CS17">
            <v>0</v>
          </cell>
          <cell r="CT17">
            <v>1019212</v>
          </cell>
          <cell r="CU17">
            <v>588541</v>
          </cell>
        </row>
        <row r="18">
          <cell r="A18" t="str">
            <v>Total service area</v>
          </cell>
          <cell r="B18" t="str">
            <v>AREA</v>
          </cell>
          <cell r="C18">
            <v>2005</v>
          </cell>
          <cell r="D18">
            <v>380</v>
          </cell>
          <cell r="E18">
            <v>374</v>
          </cell>
          <cell r="F18">
            <v>201</v>
          </cell>
          <cell r="G18">
            <v>257</v>
          </cell>
          <cell r="H18">
            <v>74</v>
          </cell>
          <cell r="I18">
            <v>188</v>
          </cell>
          <cell r="J18">
            <v>58</v>
          </cell>
          <cell r="K18">
            <v>303</v>
          </cell>
          <cell r="L18">
            <v>168</v>
          </cell>
          <cell r="M18">
            <v>10</v>
          </cell>
          <cell r="N18">
            <v>2</v>
          </cell>
          <cell r="O18">
            <v>70</v>
          </cell>
          <cell r="P18">
            <v>4</v>
          </cell>
          <cell r="Q18">
            <v>5</v>
          </cell>
          <cell r="R18">
            <v>2</v>
          </cell>
          <cell r="S18">
            <v>21</v>
          </cell>
          <cell r="T18">
            <v>120</v>
          </cell>
          <cell r="U18">
            <v>66</v>
          </cell>
          <cell r="V18">
            <v>287</v>
          </cell>
          <cell r="W18">
            <v>46</v>
          </cell>
          <cell r="X18">
            <v>99</v>
          </cell>
          <cell r="Y18">
            <v>104</v>
          </cell>
          <cell r="Z18">
            <v>45</v>
          </cell>
          <cell r="AA18">
            <v>26</v>
          </cell>
          <cell r="AB18">
            <v>1</v>
          </cell>
          <cell r="AC18">
            <v>14200</v>
          </cell>
          <cell r="AD18">
            <v>410</v>
          </cell>
          <cell r="AE18">
            <v>401</v>
          </cell>
          <cell r="AF18">
            <v>9</v>
          </cell>
          <cell r="AG18">
            <v>67</v>
          </cell>
          <cell r="AH18">
            <v>93</v>
          </cell>
          <cell r="AI18">
            <v>89</v>
          </cell>
          <cell r="AJ18">
            <v>4</v>
          </cell>
          <cell r="AK18">
            <v>1252</v>
          </cell>
          <cell r="AL18">
            <v>280</v>
          </cell>
          <cell r="AM18">
            <v>426</v>
          </cell>
          <cell r="AN18">
            <v>93</v>
          </cell>
          <cell r="AO18">
            <v>9</v>
          </cell>
          <cell r="AP18">
            <v>8</v>
          </cell>
          <cell r="AQ18">
            <v>269</v>
          </cell>
          <cell r="AR18">
            <v>650006</v>
          </cell>
          <cell r="AS18">
            <v>650000</v>
          </cell>
          <cell r="AT18">
            <v>6</v>
          </cell>
          <cell r="AU18">
            <v>1104</v>
          </cell>
          <cell r="AV18">
            <v>292</v>
          </cell>
          <cell r="AW18">
            <v>24</v>
          </cell>
          <cell r="AX18">
            <v>31</v>
          </cell>
          <cell r="AY18">
            <v>404</v>
          </cell>
          <cell r="AZ18">
            <v>27</v>
          </cell>
          <cell r="BA18">
            <v>77</v>
          </cell>
          <cell r="BB18">
            <v>421</v>
          </cell>
          <cell r="BC18">
            <v>21</v>
          </cell>
          <cell r="BD18">
            <v>20</v>
          </cell>
          <cell r="BE18">
            <v>370</v>
          </cell>
          <cell r="BF18">
            <v>4</v>
          </cell>
          <cell r="BG18">
            <v>88</v>
          </cell>
          <cell r="BH18">
            <v>41</v>
          </cell>
          <cell r="BI18">
            <v>47</v>
          </cell>
          <cell r="BJ18">
            <v>776</v>
          </cell>
          <cell r="BK18">
            <v>209</v>
          </cell>
          <cell r="BL18">
            <v>567</v>
          </cell>
          <cell r="BM18">
            <v>125</v>
          </cell>
          <cell r="BN18">
            <v>693</v>
          </cell>
          <cell r="BO18">
            <v>330</v>
          </cell>
          <cell r="BP18">
            <v>28</v>
          </cell>
          <cell r="BQ18">
            <v>143</v>
          </cell>
          <cell r="BR18">
            <v>16</v>
          </cell>
          <cell r="BS18">
            <v>27</v>
          </cell>
          <cell r="BT18">
            <v>143</v>
          </cell>
          <cell r="BU18">
            <v>35</v>
          </cell>
          <cell r="BV18">
            <v>342</v>
          </cell>
          <cell r="BW18">
            <v>15</v>
          </cell>
          <cell r="BX18">
            <v>64</v>
          </cell>
          <cell r="BY18">
            <v>122</v>
          </cell>
          <cell r="BZ18">
            <v>636</v>
          </cell>
          <cell r="CA18">
            <v>587</v>
          </cell>
          <cell r="CB18">
            <v>49</v>
          </cell>
          <cell r="CC18">
            <v>13</v>
          </cell>
          <cell r="CD18">
            <v>18</v>
          </cell>
          <cell r="CE18">
            <v>536</v>
          </cell>
          <cell r="CF18">
            <v>32</v>
          </cell>
          <cell r="CG18">
            <v>381</v>
          </cell>
          <cell r="CH18">
            <v>9</v>
          </cell>
          <cell r="CI18">
            <v>630</v>
          </cell>
          <cell r="CJ18">
            <v>639</v>
          </cell>
          <cell r="CK18">
            <v>418</v>
          </cell>
          <cell r="CL18">
            <v>221</v>
          </cell>
          <cell r="CM18">
            <v>61</v>
          </cell>
          <cell r="CN18">
            <v>656</v>
          </cell>
          <cell r="CO18">
            <v>86</v>
          </cell>
          <cell r="CP18">
            <v>14</v>
          </cell>
          <cell r="CQ18">
            <v>11</v>
          </cell>
          <cell r="CR18">
            <v>0</v>
          </cell>
          <cell r="CS18">
            <v>49</v>
          </cell>
          <cell r="CT18">
            <v>147</v>
          </cell>
          <cell r="CU18">
            <v>31</v>
          </cell>
        </row>
        <row r="19">
          <cell r="A19" t="str">
            <v>Urban service area</v>
          </cell>
          <cell r="B19" t="str">
            <v>AREAURB</v>
          </cell>
          <cell r="C19">
            <v>2005</v>
          </cell>
          <cell r="D19">
            <v>380</v>
          </cell>
          <cell r="E19">
            <v>363</v>
          </cell>
          <cell r="F19">
            <v>54</v>
          </cell>
          <cell r="G19">
            <v>17</v>
          </cell>
          <cell r="H19">
            <v>74</v>
          </cell>
          <cell r="I19">
            <v>98</v>
          </cell>
          <cell r="J19">
            <v>58</v>
          </cell>
          <cell r="K19">
            <v>90</v>
          </cell>
          <cell r="L19">
            <v>35</v>
          </cell>
          <cell r="M19">
            <v>10</v>
          </cell>
          <cell r="N19">
            <v>2</v>
          </cell>
          <cell r="O19">
            <v>0</v>
          </cell>
          <cell r="P19">
            <v>4</v>
          </cell>
          <cell r="Q19">
            <v>5</v>
          </cell>
          <cell r="R19">
            <v>2</v>
          </cell>
          <cell r="S19">
            <v>21</v>
          </cell>
          <cell r="T19">
            <v>120</v>
          </cell>
          <cell r="U19">
            <v>18</v>
          </cell>
          <cell r="V19">
            <v>287</v>
          </cell>
          <cell r="W19">
            <v>46</v>
          </cell>
          <cell r="X19">
            <v>26</v>
          </cell>
          <cell r="Y19">
            <v>66</v>
          </cell>
          <cell r="Z19">
            <v>45</v>
          </cell>
          <cell r="AA19">
            <v>26</v>
          </cell>
          <cell r="AB19">
            <v>1</v>
          </cell>
          <cell r="AC19">
            <v>3</v>
          </cell>
          <cell r="AD19">
            <v>290</v>
          </cell>
          <cell r="AE19">
            <v>281</v>
          </cell>
          <cell r="AF19">
            <v>9</v>
          </cell>
          <cell r="AG19">
            <v>22</v>
          </cell>
          <cell r="AH19">
            <v>93</v>
          </cell>
          <cell r="AI19">
            <v>89</v>
          </cell>
          <cell r="AJ19">
            <v>4</v>
          </cell>
          <cell r="AK19">
            <v>36</v>
          </cell>
          <cell r="AL19">
            <v>25</v>
          </cell>
          <cell r="AM19">
            <v>311</v>
          </cell>
          <cell r="AN19">
            <v>93</v>
          </cell>
          <cell r="AO19">
            <v>9</v>
          </cell>
          <cell r="AP19">
            <v>8</v>
          </cell>
          <cell r="AQ19">
            <v>269</v>
          </cell>
          <cell r="AR19">
            <v>6</v>
          </cell>
          <cell r="AS19">
            <v>0</v>
          </cell>
          <cell r="AT19">
            <v>6</v>
          </cell>
          <cell r="AU19">
            <v>1104</v>
          </cell>
          <cell r="AV19">
            <v>59</v>
          </cell>
          <cell r="AW19">
            <v>24</v>
          </cell>
          <cell r="AX19">
            <v>31</v>
          </cell>
          <cell r="AY19">
            <v>124</v>
          </cell>
          <cell r="AZ19">
            <v>27</v>
          </cell>
          <cell r="BA19">
            <v>20</v>
          </cell>
          <cell r="BB19">
            <v>163</v>
          </cell>
          <cell r="BC19">
            <v>5</v>
          </cell>
          <cell r="BD19">
            <v>20</v>
          </cell>
          <cell r="BE19">
            <v>57</v>
          </cell>
          <cell r="BF19">
            <v>0</v>
          </cell>
          <cell r="BG19">
            <v>66</v>
          </cell>
          <cell r="BH19">
            <v>41</v>
          </cell>
          <cell r="BI19">
            <v>25</v>
          </cell>
          <cell r="BJ19">
            <v>265</v>
          </cell>
          <cell r="BK19">
            <v>209</v>
          </cell>
          <cell r="BL19">
            <v>56</v>
          </cell>
          <cell r="BM19">
            <v>14</v>
          </cell>
          <cell r="BN19">
            <v>144</v>
          </cell>
          <cell r="BO19">
            <v>51</v>
          </cell>
          <cell r="BP19">
            <v>28</v>
          </cell>
          <cell r="BQ19">
            <v>102</v>
          </cell>
          <cell r="BR19">
            <v>16</v>
          </cell>
          <cell r="BS19">
            <v>27</v>
          </cell>
          <cell r="BT19">
            <v>65</v>
          </cell>
          <cell r="BU19">
            <v>35</v>
          </cell>
          <cell r="BV19">
            <v>58</v>
          </cell>
          <cell r="BW19">
            <v>15</v>
          </cell>
          <cell r="BX19">
            <v>64</v>
          </cell>
          <cell r="BY19">
            <v>20</v>
          </cell>
          <cell r="BZ19">
            <v>411</v>
          </cell>
          <cell r="CA19">
            <v>383</v>
          </cell>
          <cell r="CB19">
            <v>28</v>
          </cell>
          <cell r="CC19">
            <v>13</v>
          </cell>
          <cell r="CD19">
            <v>11</v>
          </cell>
          <cell r="CE19">
            <v>6</v>
          </cell>
          <cell r="CF19">
            <v>0</v>
          </cell>
          <cell r="CG19">
            <v>55</v>
          </cell>
          <cell r="CH19">
            <v>8</v>
          </cell>
          <cell r="CI19">
            <v>630</v>
          </cell>
          <cell r="CJ19">
            <v>253</v>
          </cell>
          <cell r="CK19">
            <v>243</v>
          </cell>
          <cell r="CL19">
            <v>10</v>
          </cell>
          <cell r="CM19">
            <v>53</v>
          </cell>
          <cell r="CN19">
            <v>66</v>
          </cell>
          <cell r="CO19">
            <v>86</v>
          </cell>
          <cell r="CP19">
            <v>14</v>
          </cell>
          <cell r="CQ19">
            <v>11</v>
          </cell>
          <cell r="CR19">
            <v>0</v>
          </cell>
          <cell r="CS19">
            <v>49</v>
          </cell>
          <cell r="CT19">
            <v>71</v>
          </cell>
          <cell r="CU19">
            <v>31</v>
          </cell>
        </row>
        <row r="20">
          <cell r="A20" t="str">
            <v>Rural service area</v>
          </cell>
          <cell r="B20" t="str">
            <v>AREARUR</v>
          </cell>
          <cell r="C20">
            <v>2005</v>
          </cell>
          <cell r="D20">
            <v>0</v>
          </cell>
          <cell r="E20">
            <v>11</v>
          </cell>
          <cell r="F20">
            <v>147</v>
          </cell>
          <cell r="G20">
            <v>240</v>
          </cell>
          <cell r="H20">
            <v>0</v>
          </cell>
          <cell r="I20">
            <v>90</v>
          </cell>
          <cell r="J20">
            <v>0</v>
          </cell>
          <cell r="K20">
            <v>213</v>
          </cell>
          <cell r="L20">
            <v>133</v>
          </cell>
          <cell r="M20">
            <v>0</v>
          </cell>
          <cell r="N20">
            <v>0</v>
          </cell>
          <cell r="O20">
            <v>70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120</v>
          </cell>
          <cell r="AE20">
            <v>120</v>
          </cell>
          <cell r="AF20">
            <v>0</v>
          </cell>
          <cell r="AG20">
            <v>45</v>
          </cell>
          <cell r="AH20">
            <v>0</v>
          </cell>
          <cell r="AI20">
            <v>0</v>
          </cell>
          <cell r="AJ20">
            <v>0</v>
          </cell>
          <cell r="AK20">
            <v>1216</v>
          </cell>
          <cell r="AL20">
            <v>255</v>
          </cell>
          <cell r="AM20">
            <v>115</v>
          </cell>
          <cell r="AN20">
            <v>0</v>
          </cell>
          <cell r="AO20">
            <v>0</v>
          </cell>
          <cell r="AP20">
            <v>0</v>
          </cell>
          <cell r="AQ20">
            <v>0</v>
          </cell>
          <cell r="AR20">
            <v>650000</v>
          </cell>
          <cell r="AS20">
            <v>650000</v>
          </cell>
          <cell r="AT20">
            <v>0</v>
          </cell>
          <cell r="AU20">
            <v>0</v>
          </cell>
          <cell r="AV20">
            <v>233</v>
          </cell>
          <cell r="AW20">
            <v>0</v>
          </cell>
          <cell r="AX20">
            <v>0</v>
          </cell>
          <cell r="AY20">
            <v>280</v>
          </cell>
          <cell r="AZ20">
            <v>0</v>
          </cell>
          <cell r="BA20">
            <v>57</v>
          </cell>
          <cell r="BB20">
            <v>258</v>
          </cell>
          <cell r="BC20">
            <v>16</v>
          </cell>
          <cell r="BD20">
            <v>0</v>
          </cell>
          <cell r="BE20">
            <v>313</v>
          </cell>
          <cell r="BF20">
            <v>4</v>
          </cell>
          <cell r="BG20">
            <v>22</v>
          </cell>
          <cell r="BH20">
            <v>0</v>
          </cell>
          <cell r="BI20">
            <v>22</v>
          </cell>
          <cell r="BJ20">
            <v>511</v>
          </cell>
          <cell r="BK20">
            <v>0</v>
          </cell>
          <cell r="BL20">
            <v>511</v>
          </cell>
          <cell r="BM20">
            <v>111</v>
          </cell>
          <cell r="BN20">
            <v>549</v>
          </cell>
          <cell r="BO20">
            <v>279</v>
          </cell>
          <cell r="BP20">
            <v>0</v>
          </cell>
          <cell r="BQ20">
            <v>41</v>
          </cell>
          <cell r="BR20">
            <v>0</v>
          </cell>
          <cell r="BS20">
            <v>0</v>
          </cell>
          <cell r="BT20">
            <v>78</v>
          </cell>
          <cell r="BU20">
            <v>0</v>
          </cell>
          <cell r="BV20">
            <v>284</v>
          </cell>
          <cell r="BW20">
            <v>0</v>
          </cell>
          <cell r="BX20">
            <v>0</v>
          </cell>
          <cell r="BY20">
            <v>102</v>
          </cell>
          <cell r="BZ20">
            <v>225</v>
          </cell>
          <cell r="CA20">
            <v>204</v>
          </cell>
          <cell r="CB20">
            <v>21</v>
          </cell>
          <cell r="CC20">
            <v>0</v>
          </cell>
          <cell r="CD20">
            <v>7</v>
          </cell>
          <cell r="CE20">
            <v>530</v>
          </cell>
          <cell r="CF20">
            <v>32</v>
          </cell>
          <cell r="CG20">
            <v>326</v>
          </cell>
          <cell r="CH20">
            <v>1</v>
          </cell>
          <cell r="CI20">
            <v>0</v>
          </cell>
          <cell r="CJ20">
            <v>386</v>
          </cell>
          <cell r="CK20">
            <v>175</v>
          </cell>
          <cell r="CL20">
            <v>211</v>
          </cell>
          <cell r="CM20">
            <v>8</v>
          </cell>
          <cell r="CN20">
            <v>590</v>
          </cell>
          <cell r="CO20">
            <v>0</v>
          </cell>
          <cell r="CP20">
            <v>0</v>
          </cell>
          <cell r="CQ20">
            <v>0</v>
          </cell>
          <cell r="CR20">
            <v>0</v>
          </cell>
          <cell r="CS20">
            <v>0</v>
          </cell>
          <cell r="CT20">
            <v>76</v>
          </cell>
          <cell r="CU20">
            <v>0</v>
          </cell>
        </row>
        <row r="21">
          <cell r="A21" t="str">
            <v>Service area population</v>
          </cell>
          <cell r="B21" t="str">
            <v>POP</v>
          </cell>
          <cell r="C21">
            <v>2005</v>
          </cell>
          <cell r="D21">
            <v>3000</v>
          </cell>
          <cell r="E21">
            <v>177661</v>
          </cell>
          <cell r="F21">
            <v>83178</v>
          </cell>
          <cell r="G21">
            <v>25000</v>
          </cell>
          <cell r="H21">
            <v>88300</v>
          </cell>
          <cell r="I21">
            <v>161700</v>
          </cell>
          <cell r="J21">
            <v>22500</v>
          </cell>
          <cell r="K21">
            <v>129440</v>
          </cell>
          <cell r="L21">
            <v>27750</v>
          </cell>
          <cell r="M21">
            <v>17800</v>
          </cell>
          <cell r="N21">
            <v>2600</v>
          </cell>
          <cell r="O21">
            <v>94769</v>
          </cell>
          <cell r="P21">
            <v>3150</v>
          </cell>
          <cell r="Q21">
            <v>4000</v>
          </cell>
          <cell r="R21">
            <v>1475</v>
          </cell>
          <cell r="S21">
            <v>20997</v>
          </cell>
          <cell r="T21">
            <v>208402</v>
          </cell>
          <cell r="U21">
            <v>6700</v>
          </cell>
          <cell r="V21">
            <v>700000</v>
          </cell>
          <cell r="W21">
            <v>32542</v>
          </cell>
          <cell r="X21">
            <v>7138</v>
          </cell>
          <cell r="Y21">
            <v>69335</v>
          </cell>
          <cell r="Z21">
            <v>43632</v>
          </cell>
          <cell r="AA21">
            <v>8315</v>
          </cell>
          <cell r="AB21">
            <v>1600</v>
          </cell>
          <cell r="AC21">
            <v>18347</v>
          </cell>
          <cell r="AD21">
            <v>103918</v>
          </cell>
          <cell r="AE21">
            <v>97200</v>
          </cell>
          <cell r="AF21">
            <v>6718</v>
          </cell>
          <cell r="AG21">
            <v>21500</v>
          </cell>
          <cell r="AH21">
            <v>123872</v>
          </cell>
          <cell r="AI21">
            <v>120287</v>
          </cell>
          <cell r="AJ21">
            <v>3585</v>
          </cell>
          <cell r="AK21">
            <v>43728</v>
          </cell>
          <cell r="AL21">
            <v>50000</v>
          </cell>
          <cell r="AM21">
            <v>630800</v>
          </cell>
          <cell r="AN21">
            <v>5635</v>
          </cell>
          <cell r="AO21">
            <v>2460</v>
          </cell>
          <cell r="AP21">
            <v>10500</v>
          </cell>
          <cell r="AQ21">
            <v>412503</v>
          </cell>
          <cell r="AR21">
            <v>2866889</v>
          </cell>
          <cell r="AS21">
            <v>2865000</v>
          </cell>
          <cell r="AT21">
            <v>1889</v>
          </cell>
          <cell r="AU21">
            <v>773850</v>
          </cell>
          <cell r="AV21">
            <v>31270</v>
          </cell>
          <cell r="AW21">
            <v>12000</v>
          </cell>
          <cell r="AX21">
            <v>57800</v>
          </cell>
          <cell r="AY21">
            <v>224780</v>
          </cell>
          <cell r="AZ21">
            <v>22000</v>
          </cell>
          <cell r="BA21">
            <v>21007</v>
          </cell>
          <cell r="BB21">
            <v>336500</v>
          </cell>
          <cell r="BC21">
            <v>6763</v>
          </cell>
          <cell r="BD21">
            <v>16000</v>
          </cell>
          <cell r="BE21">
            <v>60000</v>
          </cell>
          <cell r="BF21">
            <v>402</v>
          </cell>
          <cell r="BG21">
            <v>81599</v>
          </cell>
          <cell r="BH21">
            <v>77114</v>
          </cell>
          <cell r="BI21">
            <v>4485</v>
          </cell>
          <cell r="BJ21">
            <v>123641</v>
          </cell>
          <cell r="BK21">
            <v>83941</v>
          </cell>
          <cell r="BL21">
            <v>39700</v>
          </cell>
          <cell r="BM21">
            <v>14000</v>
          </cell>
          <cell r="BN21">
            <v>31200</v>
          </cell>
          <cell r="BO21">
            <v>55000</v>
          </cell>
          <cell r="BP21">
            <v>14000</v>
          </cell>
          <cell r="BQ21">
            <v>158700</v>
          </cell>
          <cell r="BR21">
            <v>27865</v>
          </cell>
          <cell r="BS21">
            <v>30000</v>
          </cell>
          <cell r="BT21">
            <v>155000</v>
          </cell>
          <cell r="BU21">
            <v>20200</v>
          </cell>
          <cell r="BV21">
            <v>77566</v>
          </cell>
          <cell r="BW21">
            <v>6500</v>
          </cell>
          <cell r="BX21">
            <v>79850</v>
          </cell>
          <cell r="BY21">
            <v>18450</v>
          </cell>
          <cell r="BZ21">
            <v>715000</v>
          </cell>
          <cell r="CA21">
            <v>667000</v>
          </cell>
          <cell r="CB21">
            <v>48000</v>
          </cell>
          <cell r="CC21">
            <v>8125</v>
          </cell>
          <cell r="CD21">
            <v>9900</v>
          </cell>
          <cell r="CE21">
            <v>5336</v>
          </cell>
          <cell r="CF21">
            <v>33000</v>
          </cell>
          <cell r="CG21">
            <v>110716</v>
          </cell>
          <cell r="CH21">
            <v>15140</v>
          </cell>
          <cell r="CI21">
            <v>2500000</v>
          </cell>
          <cell r="CJ21">
            <v>309688</v>
          </cell>
          <cell r="CK21">
            <v>298276</v>
          </cell>
          <cell r="CL21">
            <v>11412</v>
          </cell>
          <cell r="CM21">
            <v>16000</v>
          </cell>
          <cell r="CN21">
            <v>142670</v>
          </cell>
          <cell r="CO21">
            <v>47161</v>
          </cell>
          <cell r="CP21">
            <v>6400</v>
          </cell>
          <cell r="CQ21">
            <v>7412</v>
          </cell>
          <cell r="CR21">
            <v>0</v>
          </cell>
          <cell r="CS21">
            <v>35319</v>
          </cell>
          <cell r="CT21">
            <v>110000</v>
          </cell>
          <cell r="CU21">
            <v>34350</v>
          </cell>
        </row>
        <row r="22">
          <cell r="A22" t="str">
            <v>Municipal population</v>
          </cell>
          <cell r="B22" t="str">
            <v>POPCITY</v>
          </cell>
          <cell r="C22">
            <v>2005</v>
          </cell>
          <cell r="D22">
            <v>3000</v>
          </cell>
          <cell r="E22">
            <v>193108</v>
          </cell>
          <cell r="F22">
            <v>85488</v>
          </cell>
          <cell r="G22">
            <v>30000</v>
          </cell>
          <cell r="H22">
            <v>88300</v>
          </cell>
          <cell r="I22">
            <v>161700</v>
          </cell>
          <cell r="J22">
            <v>22500</v>
          </cell>
          <cell r="K22">
            <v>129440</v>
          </cell>
          <cell r="L22">
            <v>27750</v>
          </cell>
          <cell r="M22">
            <v>26000</v>
          </cell>
          <cell r="N22">
            <v>2600</v>
          </cell>
          <cell r="O22">
            <v>107341</v>
          </cell>
          <cell r="P22">
            <v>7500</v>
          </cell>
          <cell r="Q22">
            <v>12500</v>
          </cell>
          <cell r="R22">
            <v>4500</v>
          </cell>
          <cell r="S22">
            <v>68450</v>
          </cell>
          <cell r="T22">
            <v>208402</v>
          </cell>
          <cell r="U22">
            <v>5000</v>
          </cell>
          <cell r="V22">
            <v>700000</v>
          </cell>
          <cell r="W22">
            <v>62569</v>
          </cell>
          <cell r="X22">
            <v>8700</v>
          </cell>
          <cell r="Y22">
            <v>97807</v>
          </cell>
          <cell r="Z22">
            <v>43632</v>
          </cell>
          <cell r="AA22">
            <v>8315</v>
          </cell>
          <cell r="AB22">
            <v>1600</v>
          </cell>
          <cell r="AC22">
            <v>4090</v>
          </cell>
          <cell r="AD22">
            <v>177000</v>
          </cell>
          <cell r="AE22">
            <v>162000</v>
          </cell>
          <cell r="AF22">
            <v>15000</v>
          </cell>
          <cell r="AG22">
            <v>21500</v>
          </cell>
          <cell r="AH22">
            <v>123872</v>
          </cell>
          <cell r="AI22">
            <v>120287</v>
          </cell>
          <cell r="AJ22">
            <v>3585</v>
          </cell>
          <cell r="AK22">
            <v>43728</v>
          </cell>
          <cell r="AL22">
            <v>50000</v>
          </cell>
          <cell r="AM22">
            <v>664300</v>
          </cell>
          <cell r="AN22">
            <v>5635</v>
          </cell>
          <cell r="AO22">
            <v>9314</v>
          </cell>
          <cell r="AP22">
            <v>10500</v>
          </cell>
          <cell r="AQ22">
            <v>412503</v>
          </cell>
          <cell r="AR22">
            <v>2866889</v>
          </cell>
          <cell r="AS22">
            <v>2865000</v>
          </cell>
          <cell r="AT22">
            <v>1889</v>
          </cell>
          <cell r="AU22">
            <v>858800</v>
          </cell>
          <cell r="AV22">
            <v>31270</v>
          </cell>
          <cell r="AW22">
            <v>16500</v>
          </cell>
          <cell r="AX22">
            <v>119000</v>
          </cell>
          <cell r="AY22">
            <v>224780</v>
          </cell>
          <cell r="AZ22">
            <v>22000</v>
          </cell>
          <cell r="BA22">
            <v>34035</v>
          </cell>
          <cell r="BB22">
            <v>336500</v>
          </cell>
          <cell r="BC22">
            <v>18231</v>
          </cell>
          <cell r="BD22">
            <v>17000</v>
          </cell>
          <cell r="BE22">
            <v>60000</v>
          </cell>
          <cell r="BF22">
            <v>402</v>
          </cell>
          <cell r="BG22">
            <v>108843</v>
          </cell>
          <cell r="BH22">
            <v>99493</v>
          </cell>
          <cell r="BI22">
            <v>9350</v>
          </cell>
          <cell r="BJ22">
            <v>88681</v>
          </cell>
          <cell r="BK22">
            <v>83941</v>
          </cell>
          <cell r="BL22">
            <v>4740</v>
          </cell>
          <cell r="BM22">
            <v>14000</v>
          </cell>
          <cell r="BN22">
            <v>61900</v>
          </cell>
          <cell r="BO22">
            <v>55000</v>
          </cell>
          <cell r="BP22">
            <v>18777</v>
          </cell>
          <cell r="BQ22">
            <v>158700</v>
          </cell>
          <cell r="BR22">
            <v>27865</v>
          </cell>
          <cell r="BS22">
            <v>30000</v>
          </cell>
          <cell r="BT22">
            <v>155000</v>
          </cell>
          <cell r="BU22">
            <v>20200</v>
          </cell>
          <cell r="BV22">
            <v>74566</v>
          </cell>
          <cell r="BW22">
            <v>6500</v>
          </cell>
          <cell r="BX22">
            <v>79850</v>
          </cell>
          <cell r="BY22">
            <v>18450</v>
          </cell>
          <cell r="BZ22">
            <v>715000</v>
          </cell>
          <cell r="CA22">
            <v>667000</v>
          </cell>
          <cell r="CB22">
            <v>48000</v>
          </cell>
          <cell r="CC22">
            <v>8125</v>
          </cell>
          <cell r="CD22">
            <v>16700</v>
          </cell>
          <cell r="CE22">
            <v>5336</v>
          </cell>
          <cell r="CF22">
            <v>33000</v>
          </cell>
          <cell r="CG22">
            <v>109016</v>
          </cell>
          <cell r="CH22">
            <v>15000</v>
          </cell>
          <cell r="CI22">
            <v>0</v>
          </cell>
          <cell r="CJ22">
            <v>382728</v>
          </cell>
          <cell r="CK22">
            <v>356070</v>
          </cell>
          <cell r="CL22">
            <v>26658</v>
          </cell>
          <cell r="CM22">
            <v>16000</v>
          </cell>
          <cell r="CN22">
            <v>142670</v>
          </cell>
          <cell r="CO22">
            <v>47161</v>
          </cell>
          <cell r="CP22">
            <v>11000</v>
          </cell>
          <cell r="CQ22">
            <v>7412</v>
          </cell>
          <cell r="CR22">
            <v>0</v>
          </cell>
          <cell r="CS22">
            <v>75854</v>
          </cell>
          <cell r="CT22">
            <v>110000</v>
          </cell>
          <cell r="CU22">
            <v>34550</v>
          </cell>
        </row>
        <row r="23">
          <cell r="A23" t="str">
            <v>No seasonal occupacy customers</v>
          </cell>
          <cell r="B23" t="str">
            <v>YNSUM</v>
          </cell>
          <cell r="C23">
            <v>2005</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0</v>
          </cell>
          <cell r="AD23">
            <v>148</v>
          </cell>
          <cell r="AE23">
            <v>142</v>
          </cell>
          <cell r="AF23">
            <v>6</v>
          </cell>
          <cell r="AG23">
            <v>0</v>
          </cell>
          <cell r="AH23">
            <v>0</v>
          </cell>
          <cell r="AI23">
            <v>0</v>
          </cell>
          <cell r="AJ23">
            <v>0</v>
          </cell>
          <cell r="AK23">
            <v>0</v>
          </cell>
          <cell r="AL23">
            <v>0</v>
          </cell>
          <cell r="AM23">
            <v>0</v>
          </cell>
          <cell r="AN23">
            <v>0</v>
          </cell>
          <cell r="AO23">
            <v>0</v>
          </cell>
          <cell r="AP23">
            <v>0</v>
          </cell>
          <cell r="AQ23">
            <v>0</v>
          </cell>
          <cell r="AR23">
            <v>153598</v>
          </cell>
          <cell r="AS23">
            <v>153598</v>
          </cell>
          <cell r="AT23">
            <v>0</v>
          </cell>
          <cell r="AU23">
            <v>0</v>
          </cell>
          <cell r="AV23">
            <v>588</v>
          </cell>
          <cell r="AW23">
            <v>200</v>
          </cell>
          <cell r="AX23">
            <v>0</v>
          </cell>
          <cell r="AY23">
            <v>0</v>
          </cell>
          <cell r="AZ23">
            <v>0</v>
          </cell>
          <cell r="BA23">
            <v>150</v>
          </cell>
          <cell r="BB23">
            <v>0</v>
          </cell>
          <cell r="BC23">
            <v>0</v>
          </cell>
          <cell r="BD23">
            <v>0</v>
          </cell>
          <cell r="BE23">
            <v>0</v>
          </cell>
          <cell r="BF23">
            <v>0</v>
          </cell>
          <cell r="BG23">
            <v>525</v>
          </cell>
          <cell r="BH23">
            <v>0</v>
          </cell>
          <cell r="BI23">
            <v>525</v>
          </cell>
          <cell r="BJ23">
            <v>0</v>
          </cell>
          <cell r="BK23">
            <v>0</v>
          </cell>
          <cell r="BL23">
            <v>0</v>
          </cell>
          <cell r="BM23">
            <v>215</v>
          </cell>
          <cell r="BN23">
            <v>200</v>
          </cell>
          <cell r="BO23">
            <v>0</v>
          </cell>
          <cell r="BP23">
            <v>0</v>
          </cell>
          <cell r="BQ23">
            <v>0</v>
          </cell>
          <cell r="BR23">
            <v>0</v>
          </cell>
          <cell r="BS23">
            <v>0</v>
          </cell>
          <cell r="BT23">
            <v>0</v>
          </cell>
          <cell r="BU23">
            <v>0</v>
          </cell>
          <cell r="BV23">
            <v>100</v>
          </cell>
          <cell r="BW23">
            <v>0</v>
          </cell>
          <cell r="BX23">
            <v>0</v>
          </cell>
          <cell r="BY23">
            <v>0</v>
          </cell>
          <cell r="BZ23">
            <v>0</v>
          </cell>
          <cell r="CA23">
            <v>0</v>
          </cell>
          <cell r="CB23">
            <v>0</v>
          </cell>
          <cell r="CC23">
            <v>0</v>
          </cell>
          <cell r="CD23">
            <v>0</v>
          </cell>
          <cell r="CE23">
            <v>112</v>
          </cell>
          <cell r="CF23">
            <v>0</v>
          </cell>
          <cell r="CG23">
            <v>0</v>
          </cell>
          <cell r="CH23">
            <v>0</v>
          </cell>
          <cell r="CI23">
            <v>0</v>
          </cell>
          <cell r="CJ23">
            <v>1618</v>
          </cell>
          <cell r="CK23">
            <v>0</v>
          </cell>
          <cell r="CL23">
            <v>1618</v>
          </cell>
          <cell r="CM23">
            <v>1000</v>
          </cell>
          <cell r="CN23">
            <v>0</v>
          </cell>
          <cell r="CO23">
            <v>0</v>
          </cell>
          <cell r="CP23">
            <v>0</v>
          </cell>
          <cell r="CQ23">
            <v>0</v>
          </cell>
          <cell r="CR23">
            <v>0</v>
          </cell>
          <cell r="CS23">
            <v>706</v>
          </cell>
          <cell r="CT23">
            <v>0</v>
          </cell>
          <cell r="CU23">
            <v>0</v>
          </cell>
        </row>
        <row r="24">
          <cell r="A24" t="str">
            <v>Utility winter max peak load</v>
          </cell>
          <cell r="B24" t="str">
            <v>PEAKW</v>
          </cell>
          <cell r="C24">
            <v>2005</v>
          </cell>
          <cell r="D24">
            <v>8071</v>
          </cell>
          <cell r="E24">
            <v>280827</v>
          </cell>
          <cell r="F24">
            <v>46309</v>
          </cell>
          <cell r="G24">
            <v>43700</v>
          </cell>
          <cell r="H24">
            <v>158578</v>
          </cell>
          <cell r="I24">
            <v>281190</v>
          </cell>
          <cell r="J24">
            <v>62540</v>
          </cell>
          <cell r="K24">
            <v>253000</v>
          </cell>
          <cell r="L24">
            <v>49510</v>
          </cell>
          <cell r="M24">
            <v>27808</v>
          </cell>
          <cell r="N24">
            <v>7691</v>
          </cell>
          <cell r="O24">
            <v>147093</v>
          </cell>
          <cell r="P24">
            <v>6083</v>
          </cell>
          <cell r="Q24">
            <v>6624</v>
          </cell>
          <cell r="R24">
            <v>1683</v>
          </cell>
          <cell r="S24">
            <v>46528</v>
          </cell>
          <cell r="T24">
            <v>481500</v>
          </cell>
          <cell r="U24">
            <v>16900</v>
          </cell>
          <cell r="V24">
            <v>1225200</v>
          </cell>
          <cell r="W24">
            <v>73963</v>
          </cell>
          <cell r="X24">
            <v>15021</v>
          </cell>
          <cell r="Y24">
            <v>100287</v>
          </cell>
          <cell r="Z24">
            <v>97761</v>
          </cell>
          <cell r="AA24">
            <v>18575</v>
          </cell>
          <cell r="AB24">
            <v>2144</v>
          </cell>
          <cell r="AC24">
            <v>44521</v>
          </cell>
          <cell r="AD24">
            <v>193604</v>
          </cell>
          <cell r="AE24">
            <v>178048</v>
          </cell>
          <cell r="AF24">
            <v>15556</v>
          </cell>
          <cell r="AG24">
            <v>32833</v>
          </cell>
          <cell r="AH24">
            <v>255760</v>
          </cell>
          <cell r="AI24">
            <v>252079</v>
          </cell>
          <cell r="AJ24">
            <v>3681</v>
          </cell>
          <cell r="AK24">
            <v>80079</v>
          </cell>
          <cell r="AL24">
            <v>0</v>
          </cell>
          <cell r="AM24">
            <v>1003342.99</v>
          </cell>
          <cell r="AN24">
            <v>22617</v>
          </cell>
          <cell r="AO24">
            <v>6976</v>
          </cell>
          <cell r="AP24">
            <v>37386</v>
          </cell>
          <cell r="AQ24">
            <v>593400</v>
          </cell>
          <cell r="AR24">
            <v>4407238</v>
          </cell>
          <cell r="AS24">
            <v>4402210</v>
          </cell>
          <cell r="AT24">
            <v>5028</v>
          </cell>
          <cell r="AU24">
            <v>1361692</v>
          </cell>
          <cell r="AV24">
            <v>62729</v>
          </cell>
          <cell r="AW24">
            <v>23000</v>
          </cell>
          <cell r="AX24">
            <v>143124</v>
          </cell>
          <cell r="AY24">
            <v>337284</v>
          </cell>
          <cell r="AZ24">
            <v>48397</v>
          </cell>
          <cell r="BA24">
            <v>44197</v>
          </cell>
          <cell r="BB24">
            <v>546920</v>
          </cell>
          <cell r="BC24">
            <v>29291</v>
          </cell>
          <cell r="BD24">
            <v>39722</v>
          </cell>
          <cell r="BE24">
            <v>106124</v>
          </cell>
          <cell r="BF24">
            <v>3955</v>
          </cell>
          <cell r="BG24">
            <v>129763</v>
          </cell>
          <cell r="BH24">
            <v>120034</v>
          </cell>
          <cell r="BI24">
            <v>9729</v>
          </cell>
          <cell r="BJ24">
            <v>203581</v>
          </cell>
          <cell r="BK24">
            <v>134664</v>
          </cell>
          <cell r="BL24">
            <v>68917</v>
          </cell>
          <cell r="BM24">
            <v>29598</v>
          </cell>
          <cell r="BN24">
            <v>67289</v>
          </cell>
          <cell r="BO24">
            <v>119000</v>
          </cell>
          <cell r="BP24">
            <v>23943</v>
          </cell>
          <cell r="BQ24">
            <v>266138</v>
          </cell>
          <cell r="BR24">
            <v>42730</v>
          </cell>
          <cell r="BS24">
            <v>60656</v>
          </cell>
          <cell r="BT24">
            <v>217814</v>
          </cell>
          <cell r="BU24">
            <v>41386</v>
          </cell>
          <cell r="BV24">
            <v>156336</v>
          </cell>
          <cell r="BW24">
            <v>20</v>
          </cell>
          <cell r="BX24">
            <v>152882</v>
          </cell>
          <cell r="BY24">
            <v>34900</v>
          </cell>
          <cell r="BZ24">
            <v>1099666</v>
          </cell>
          <cell r="CA24">
            <v>1024038</v>
          </cell>
          <cell r="CB24">
            <v>75628</v>
          </cell>
          <cell r="CC24">
            <v>19031</v>
          </cell>
          <cell r="CD24">
            <v>25475</v>
          </cell>
          <cell r="CE24">
            <v>22753</v>
          </cell>
          <cell r="CF24">
            <v>61768</v>
          </cell>
          <cell r="CG24">
            <v>197</v>
          </cell>
          <cell r="CH24">
            <v>37330</v>
          </cell>
          <cell r="CI24">
            <v>4326536</v>
          </cell>
          <cell r="CJ24">
            <v>447500</v>
          </cell>
          <cell r="CK24">
            <v>426200</v>
          </cell>
          <cell r="CL24">
            <v>21300</v>
          </cell>
          <cell r="CM24">
            <v>23086</v>
          </cell>
          <cell r="CN24">
            <v>222407</v>
          </cell>
          <cell r="CO24">
            <v>87268</v>
          </cell>
          <cell r="CP24">
            <v>16598</v>
          </cell>
          <cell r="CQ24">
            <v>25</v>
          </cell>
          <cell r="CR24">
            <v>0</v>
          </cell>
          <cell r="CS24">
            <v>83355</v>
          </cell>
          <cell r="CT24">
            <v>150630</v>
          </cell>
          <cell r="CU24">
            <v>68957</v>
          </cell>
        </row>
        <row r="25">
          <cell r="A25" t="str">
            <v>Utility summer max peak load</v>
          </cell>
          <cell r="B25" t="str">
            <v>PEAKS</v>
          </cell>
          <cell r="C25">
            <v>2005</v>
          </cell>
          <cell r="D25">
            <v>6822</v>
          </cell>
          <cell r="E25">
            <v>313186</v>
          </cell>
          <cell r="F25">
            <v>47583</v>
          </cell>
          <cell r="G25">
            <v>46125</v>
          </cell>
          <cell r="H25">
            <v>192711</v>
          </cell>
          <cell r="I25">
            <v>364963</v>
          </cell>
          <cell r="J25">
            <v>54854</v>
          </cell>
          <cell r="K25">
            <v>312448</v>
          </cell>
          <cell r="L25">
            <v>59200</v>
          </cell>
          <cell r="M25">
            <v>28286</v>
          </cell>
          <cell r="N25">
            <v>6080</v>
          </cell>
          <cell r="O25">
            <v>182533</v>
          </cell>
          <cell r="P25">
            <v>6127</v>
          </cell>
          <cell r="Q25">
            <v>5611</v>
          </cell>
          <cell r="R25">
            <v>1929</v>
          </cell>
          <cell r="S25">
            <v>47354</v>
          </cell>
          <cell r="T25">
            <v>640300</v>
          </cell>
          <cell r="U25">
            <v>15200</v>
          </cell>
          <cell r="V25">
            <v>1570200</v>
          </cell>
          <cell r="W25">
            <v>80284</v>
          </cell>
          <cell r="X25">
            <v>9609</v>
          </cell>
          <cell r="Y25">
            <v>138842</v>
          </cell>
          <cell r="Z25">
            <v>101863</v>
          </cell>
          <cell r="AA25">
            <v>14695</v>
          </cell>
          <cell r="AB25">
            <v>1570</v>
          </cell>
          <cell r="AC25">
            <v>27018</v>
          </cell>
          <cell r="AD25">
            <v>154571</v>
          </cell>
          <cell r="AE25">
            <v>143614</v>
          </cell>
          <cell r="AF25">
            <v>10957</v>
          </cell>
          <cell r="AG25">
            <v>39019</v>
          </cell>
          <cell r="AH25">
            <v>283187</v>
          </cell>
          <cell r="AI25">
            <v>279418</v>
          </cell>
          <cell r="AJ25">
            <v>3769</v>
          </cell>
          <cell r="AK25">
            <v>88622</v>
          </cell>
          <cell r="AL25">
            <v>0</v>
          </cell>
          <cell r="AM25">
            <v>1231753.8899999999</v>
          </cell>
          <cell r="AN25">
            <v>17937</v>
          </cell>
          <cell r="AO25">
            <v>3874</v>
          </cell>
          <cell r="AP25">
            <v>30809</v>
          </cell>
          <cell r="AQ25">
            <v>731200</v>
          </cell>
          <cell r="AR25">
            <v>3518890</v>
          </cell>
          <cell r="AS25">
            <v>3516900</v>
          </cell>
          <cell r="AT25">
            <v>1990</v>
          </cell>
          <cell r="AU25">
            <v>1464855</v>
          </cell>
          <cell r="AV25">
            <v>47387</v>
          </cell>
          <cell r="AW25">
            <v>20100</v>
          </cell>
          <cell r="AX25">
            <v>116616</v>
          </cell>
          <cell r="AY25">
            <v>386568</v>
          </cell>
          <cell r="AZ25">
            <v>48706</v>
          </cell>
          <cell r="BA25">
            <v>34620</v>
          </cell>
          <cell r="BB25">
            <v>708063</v>
          </cell>
          <cell r="BC25">
            <v>35608</v>
          </cell>
          <cell r="BD25">
            <v>32039</v>
          </cell>
          <cell r="BE25">
            <v>120578</v>
          </cell>
          <cell r="BF25">
            <v>4489</v>
          </cell>
          <cell r="BG25">
            <v>158205</v>
          </cell>
          <cell r="BH25">
            <v>149909</v>
          </cell>
          <cell r="BI25">
            <v>8296</v>
          </cell>
          <cell r="BJ25">
            <v>260983</v>
          </cell>
          <cell r="BK25">
            <v>188338</v>
          </cell>
          <cell r="BL25">
            <v>72645</v>
          </cell>
          <cell r="BM25">
            <v>40534</v>
          </cell>
          <cell r="BN25">
            <v>73575</v>
          </cell>
          <cell r="BO25">
            <v>78000</v>
          </cell>
          <cell r="BP25">
            <v>21005</v>
          </cell>
          <cell r="BQ25">
            <v>335427</v>
          </cell>
          <cell r="BR25">
            <v>46108</v>
          </cell>
          <cell r="BS25">
            <v>56765</v>
          </cell>
          <cell r="BT25">
            <v>211272</v>
          </cell>
          <cell r="BU25">
            <v>35915</v>
          </cell>
          <cell r="BV25">
            <v>100440</v>
          </cell>
          <cell r="BW25">
            <v>12</v>
          </cell>
          <cell r="BX25">
            <v>154667</v>
          </cell>
          <cell r="BY25">
            <v>40900</v>
          </cell>
          <cell r="BZ25">
            <v>1488919</v>
          </cell>
          <cell r="CA25">
            <v>1395736</v>
          </cell>
          <cell r="CB25">
            <v>93183</v>
          </cell>
          <cell r="CC25">
            <v>18576</v>
          </cell>
          <cell r="CD25">
            <v>22345</v>
          </cell>
          <cell r="CE25">
            <v>15308</v>
          </cell>
          <cell r="CF25">
            <v>74621</v>
          </cell>
          <cell r="CG25">
            <v>171</v>
          </cell>
          <cell r="CH25">
            <v>42283</v>
          </cell>
          <cell r="CI25">
            <v>5005205</v>
          </cell>
          <cell r="CJ25">
            <v>477431</v>
          </cell>
          <cell r="CK25">
            <v>461900</v>
          </cell>
          <cell r="CL25">
            <v>15531</v>
          </cell>
          <cell r="CM25">
            <v>23337</v>
          </cell>
          <cell r="CN25">
            <v>258204</v>
          </cell>
          <cell r="CO25">
            <v>104312</v>
          </cell>
          <cell r="CP25">
            <v>14920</v>
          </cell>
          <cell r="CQ25">
            <v>25</v>
          </cell>
          <cell r="CR25">
            <v>0</v>
          </cell>
          <cell r="CS25">
            <v>66916</v>
          </cell>
          <cell r="CT25">
            <v>181998</v>
          </cell>
          <cell r="CU25">
            <v>79084</v>
          </cell>
        </row>
        <row r="26">
          <cell r="A26" t="str">
            <v>Utility average peak load</v>
          </cell>
          <cell r="B26" t="str">
            <v>PEAKA</v>
          </cell>
          <cell r="C26">
            <v>2005</v>
          </cell>
          <cell r="D26">
            <v>6714</v>
          </cell>
          <cell r="E26">
            <v>264962</v>
          </cell>
          <cell r="F26">
            <v>45502</v>
          </cell>
          <cell r="G26">
            <v>42000</v>
          </cell>
          <cell r="H26">
            <v>158942</v>
          </cell>
          <cell r="I26">
            <v>288285</v>
          </cell>
          <cell r="J26">
            <v>55005</v>
          </cell>
          <cell r="K26">
            <v>260847</v>
          </cell>
          <cell r="L26">
            <v>47700</v>
          </cell>
          <cell r="M26">
            <v>25159</v>
          </cell>
          <cell r="N26">
            <v>4902</v>
          </cell>
          <cell r="O26">
            <v>148119</v>
          </cell>
          <cell r="P26">
            <v>5912</v>
          </cell>
          <cell r="Q26">
            <v>5372</v>
          </cell>
          <cell r="R26">
            <v>1543</v>
          </cell>
          <cell r="S26">
            <v>38111</v>
          </cell>
          <cell r="T26">
            <v>508050</v>
          </cell>
          <cell r="U26">
            <v>14500</v>
          </cell>
          <cell r="V26">
            <v>1266767</v>
          </cell>
          <cell r="W26">
            <v>67618</v>
          </cell>
          <cell r="X26">
            <v>10858</v>
          </cell>
          <cell r="Y26">
            <v>97900</v>
          </cell>
          <cell r="Z26">
            <v>92783</v>
          </cell>
          <cell r="AA26">
            <v>13985</v>
          </cell>
          <cell r="AB26">
            <v>1665</v>
          </cell>
          <cell r="AC26">
            <v>31797</v>
          </cell>
          <cell r="AD26">
            <v>158537</v>
          </cell>
          <cell r="AE26">
            <v>147633</v>
          </cell>
          <cell r="AF26">
            <v>10904</v>
          </cell>
          <cell r="AG26">
            <v>30181</v>
          </cell>
          <cell r="AH26">
            <v>248284</v>
          </cell>
          <cell r="AI26">
            <v>245173</v>
          </cell>
          <cell r="AJ26">
            <v>3111</v>
          </cell>
          <cell r="AK26">
            <v>72768</v>
          </cell>
          <cell r="AL26">
            <v>0</v>
          </cell>
          <cell r="AM26">
            <v>1013115.39</v>
          </cell>
          <cell r="AN26">
            <v>18827</v>
          </cell>
          <cell r="AO26">
            <v>3720</v>
          </cell>
          <cell r="AP26">
            <v>31348</v>
          </cell>
          <cell r="AQ26">
            <v>596300</v>
          </cell>
          <cell r="AR26">
            <v>3438235</v>
          </cell>
          <cell r="AS26">
            <v>3435096</v>
          </cell>
          <cell r="AT26">
            <v>3139</v>
          </cell>
          <cell r="AU26">
            <v>1244768</v>
          </cell>
          <cell r="AV26">
            <v>45178</v>
          </cell>
          <cell r="AW26">
            <v>17500</v>
          </cell>
          <cell r="AX26">
            <v>23854</v>
          </cell>
          <cell r="AY26">
            <v>325378</v>
          </cell>
          <cell r="AZ26">
            <v>44563</v>
          </cell>
          <cell r="BA26">
            <v>35538</v>
          </cell>
          <cell r="BB26">
            <v>562370</v>
          </cell>
          <cell r="BC26">
            <v>28602</v>
          </cell>
          <cell r="BD26">
            <v>36748</v>
          </cell>
          <cell r="BE26">
            <v>102713</v>
          </cell>
          <cell r="BF26">
            <v>704</v>
          </cell>
          <cell r="BG26">
            <v>128153</v>
          </cell>
          <cell r="BH26">
            <v>120414</v>
          </cell>
          <cell r="BI26">
            <v>7739</v>
          </cell>
          <cell r="BJ26">
            <v>213709</v>
          </cell>
          <cell r="BK26">
            <v>142928</v>
          </cell>
          <cell r="BL26">
            <v>70781</v>
          </cell>
          <cell r="BM26">
            <v>30752</v>
          </cell>
          <cell r="BN26">
            <v>62395</v>
          </cell>
          <cell r="BO26">
            <v>92957</v>
          </cell>
          <cell r="BP26">
            <v>22474</v>
          </cell>
          <cell r="BQ26">
            <v>266679</v>
          </cell>
          <cell r="BR26">
            <v>40515</v>
          </cell>
          <cell r="BS26">
            <v>53230</v>
          </cell>
          <cell r="BT26">
            <v>189320</v>
          </cell>
          <cell r="BU26">
            <v>34808</v>
          </cell>
          <cell r="BV26">
            <v>115436</v>
          </cell>
          <cell r="BW26">
            <v>16</v>
          </cell>
          <cell r="BX26">
            <v>137204</v>
          </cell>
          <cell r="BY26">
            <v>34300</v>
          </cell>
          <cell r="BZ26">
            <v>1157510</v>
          </cell>
          <cell r="CA26">
            <v>1081724</v>
          </cell>
          <cell r="CB26">
            <v>75786</v>
          </cell>
          <cell r="CC26">
            <v>16996</v>
          </cell>
          <cell r="CD26">
            <v>21620</v>
          </cell>
          <cell r="CE26">
            <v>16378</v>
          </cell>
          <cell r="CF26">
            <v>60810</v>
          </cell>
          <cell r="CG26">
            <v>169</v>
          </cell>
          <cell r="CH26">
            <v>36579</v>
          </cell>
          <cell r="CI26">
            <v>4174409</v>
          </cell>
          <cell r="CJ26">
            <v>415215</v>
          </cell>
          <cell r="CK26">
            <v>399184</v>
          </cell>
          <cell r="CL26">
            <v>16031</v>
          </cell>
          <cell r="CM26">
            <v>19455</v>
          </cell>
          <cell r="CN26">
            <v>219477</v>
          </cell>
          <cell r="CO26">
            <v>86463</v>
          </cell>
          <cell r="CP26">
            <v>15759</v>
          </cell>
          <cell r="CQ26">
            <v>24</v>
          </cell>
          <cell r="CR26">
            <v>0</v>
          </cell>
          <cell r="CS26">
            <v>73626</v>
          </cell>
          <cell r="CT26">
            <v>145535</v>
          </cell>
          <cell r="CU26">
            <v>67711</v>
          </cell>
        </row>
        <row r="27">
          <cell r="A27" t="str">
            <v>Total circuit kms of line</v>
          </cell>
          <cell r="B27" t="str">
            <v>KMC</v>
          </cell>
          <cell r="C27">
            <v>2005</v>
          </cell>
          <cell r="D27">
            <v>92</v>
          </cell>
          <cell r="E27">
            <v>1485</v>
          </cell>
          <cell r="F27">
            <v>785</v>
          </cell>
          <cell r="G27">
            <v>432</v>
          </cell>
          <cell r="H27">
            <v>478</v>
          </cell>
          <cell r="I27">
            <v>1384</v>
          </cell>
          <cell r="J27">
            <v>340</v>
          </cell>
          <cell r="K27">
            <v>1089</v>
          </cell>
          <cell r="L27">
            <v>501</v>
          </cell>
          <cell r="M27">
            <v>140</v>
          </cell>
          <cell r="N27">
            <v>27</v>
          </cell>
          <cell r="O27">
            <v>783</v>
          </cell>
          <cell r="P27">
            <v>21</v>
          </cell>
          <cell r="Q27">
            <v>28</v>
          </cell>
          <cell r="R27">
            <v>7</v>
          </cell>
          <cell r="S27">
            <v>142</v>
          </cell>
          <cell r="T27">
            <v>1184</v>
          </cell>
          <cell r="U27">
            <v>168</v>
          </cell>
          <cell r="V27">
            <v>5027</v>
          </cell>
          <cell r="W27">
            <v>258</v>
          </cell>
          <cell r="X27">
            <v>136</v>
          </cell>
          <cell r="Y27">
            <v>458</v>
          </cell>
          <cell r="Z27">
            <v>275</v>
          </cell>
          <cell r="AA27">
            <v>84</v>
          </cell>
          <cell r="AB27">
            <v>8</v>
          </cell>
          <cell r="AC27">
            <v>1832</v>
          </cell>
          <cell r="AD27">
            <v>870</v>
          </cell>
          <cell r="AE27">
            <v>833</v>
          </cell>
          <cell r="AF27">
            <v>37</v>
          </cell>
          <cell r="AG27">
            <v>238</v>
          </cell>
          <cell r="AH27">
            <v>976</v>
          </cell>
          <cell r="AI27">
            <v>938</v>
          </cell>
          <cell r="AJ27">
            <v>38</v>
          </cell>
          <cell r="AK27">
            <v>1665</v>
          </cell>
          <cell r="AL27">
            <v>1320</v>
          </cell>
          <cell r="AM27">
            <v>3273</v>
          </cell>
          <cell r="AN27">
            <v>68</v>
          </cell>
          <cell r="AO27">
            <v>20</v>
          </cell>
          <cell r="AP27">
            <v>65</v>
          </cell>
          <cell r="AQ27">
            <v>2486</v>
          </cell>
          <cell r="AR27">
            <v>119650</v>
          </cell>
          <cell r="AS27">
            <v>119630</v>
          </cell>
          <cell r="AT27">
            <v>20</v>
          </cell>
          <cell r="AU27">
            <v>5242</v>
          </cell>
          <cell r="AV27">
            <v>597</v>
          </cell>
          <cell r="AW27">
            <v>98</v>
          </cell>
          <cell r="AX27">
            <v>348</v>
          </cell>
          <cell r="AY27">
            <v>1706</v>
          </cell>
          <cell r="AZ27">
            <v>100</v>
          </cell>
          <cell r="BA27">
            <v>659</v>
          </cell>
          <cell r="BB27">
            <v>2536</v>
          </cell>
          <cell r="BC27">
            <v>107</v>
          </cell>
          <cell r="BD27">
            <v>115</v>
          </cell>
          <cell r="BE27">
            <v>788</v>
          </cell>
          <cell r="BF27">
            <v>4</v>
          </cell>
          <cell r="BG27">
            <v>1002</v>
          </cell>
          <cell r="BH27">
            <v>645</v>
          </cell>
          <cell r="BI27">
            <v>357</v>
          </cell>
          <cell r="BJ27">
            <v>2114</v>
          </cell>
          <cell r="BK27">
            <v>814</v>
          </cell>
          <cell r="BL27">
            <v>1300</v>
          </cell>
          <cell r="BM27">
            <v>335</v>
          </cell>
          <cell r="BN27">
            <v>771</v>
          </cell>
          <cell r="BO27">
            <v>558</v>
          </cell>
          <cell r="BP27">
            <v>370</v>
          </cell>
          <cell r="BQ27">
            <v>1347</v>
          </cell>
          <cell r="BR27">
            <v>153</v>
          </cell>
          <cell r="BS27">
            <v>299</v>
          </cell>
          <cell r="BT27">
            <v>2002</v>
          </cell>
          <cell r="BU27">
            <v>146</v>
          </cell>
          <cell r="BV27">
            <v>715</v>
          </cell>
          <cell r="BW27">
            <v>128</v>
          </cell>
          <cell r="BX27">
            <v>536</v>
          </cell>
          <cell r="BY27">
            <v>307</v>
          </cell>
          <cell r="BZ27">
            <v>5857</v>
          </cell>
          <cell r="CA27">
            <v>5478</v>
          </cell>
          <cell r="CB27">
            <v>379</v>
          </cell>
          <cell r="CC27">
            <v>70</v>
          </cell>
          <cell r="CD27">
            <v>86</v>
          </cell>
          <cell r="CE27">
            <v>212</v>
          </cell>
          <cell r="CF27">
            <v>239</v>
          </cell>
          <cell r="CG27">
            <v>1340</v>
          </cell>
          <cell r="CH27">
            <v>147</v>
          </cell>
          <cell r="CI27">
            <v>20422</v>
          </cell>
          <cell r="CJ27">
            <v>1927</v>
          </cell>
          <cell r="CK27">
            <v>1659</v>
          </cell>
          <cell r="CL27">
            <v>268</v>
          </cell>
          <cell r="CM27">
            <v>217</v>
          </cell>
          <cell r="CN27">
            <v>1334</v>
          </cell>
          <cell r="CO27">
            <v>430</v>
          </cell>
          <cell r="CP27">
            <v>165</v>
          </cell>
          <cell r="CQ27">
            <v>65</v>
          </cell>
          <cell r="CR27">
            <v>34</v>
          </cell>
          <cell r="CS27">
            <v>432</v>
          </cell>
          <cell r="CT27">
            <v>980</v>
          </cell>
          <cell r="CU27">
            <v>254</v>
          </cell>
        </row>
        <row r="28">
          <cell r="A28" t="str">
            <v>Overhead circuit kms of line</v>
          </cell>
          <cell r="B28" t="str">
            <v>KMCO</v>
          </cell>
          <cell r="C28">
            <v>2005</v>
          </cell>
          <cell r="D28">
            <v>92</v>
          </cell>
          <cell r="E28">
            <v>677</v>
          </cell>
          <cell r="F28">
            <v>605</v>
          </cell>
          <cell r="G28">
            <v>405</v>
          </cell>
          <cell r="H28">
            <v>275</v>
          </cell>
          <cell r="I28">
            <v>814</v>
          </cell>
          <cell r="J28">
            <v>230</v>
          </cell>
          <cell r="K28">
            <v>727</v>
          </cell>
          <cell r="L28">
            <v>480</v>
          </cell>
          <cell r="M28">
            <v>77</v>
          </cell>
          <cell r="N28">
            <v>26</v>
          </cell>
          <cell r="O28">
            <v>559</v>
          </cell>
          <cell r="P28">
            <v>17</v>
          </cell>
          <cell r="Q28">
            <v>15</v>
          </cell>
          <cell r="R28">
            <v>6</v>
          </cell>
          <cell r="S28">
            <v>89</v>
          </cell>
          <cell r="T28">
            <v>813</v>
          </cell>
          <cell r="U28">
            <v>163</v>
          </cell>
          <cell r="V28">
            <v>1715</v>
          </cell>
          <cell r="W28">
            <v>203</v>
          </cell>
          <cell r="X28">
            <v>126</v>
          </cell>
          <cell r="Y28">
            <v>232</v>
          </cell>
          <cell r="Z28">
            <v>185</v>
          </cell>
          <cell r="AA28">
            <v>76</v>
          </cell>
          <cell r="AB28">
            <v>6</v>
          </cell>
          <cell r="AC28">
            <v>1831</v>
          </cell>
          <cell r="AD28">
            <v>695</v>
          </cell>
          <cell r="AE28">
            <v>660</v>
          </cell>
          <cell r="AF28">
            <v>35</v>
          </cell>
          <cell r="AG28">
            <v>180</v>
          </cell>
          <cell r="AH28">
            <v>421</v>
          </cell>
          <cell r="AI28">
            <v>411</v>
          </cell>
          <cell r="AJ28">
            <v>10</v>
          </cell>
          <cell r="AK28">
            <v>1585</v>
          </cell>
          <cell r="AL28">
            <v>875</v>
          </cell>
          <cell r="AM28">
            <v>1603</v>
          </cell>
          <cell r="AN28">
            <v>57</v>
          </cell>
          <cell r="AO28">
            <v>17</v>
          </cell>
          <cell r="AP28">
            <v>56</v>
          </cell>
          <cell r="AQ28">
            <v>763</v>
          </cell>
          <cell r="AR28">
            <v>115430</v>
          </cell>
          <cell r="AS28">
            <v>115410</v>
          </cell>
          <cell r="AT28">
            <v>20</v>
          </cell>
          <cell r="AU28">
            <v>3318</v>
          </cell>
          <cell r="AV28">
            <v>493</v>
          </cell>
          <cell r="AW28">
            <v>88</v>
          </cell>
          <cell r="AX28">
            <v>242</v>
          </cell>
          <cell r="AY28">
            <v>1021</v>
          </cell>
          <cell r="AZ28">
            <v>93</v>
          </cell>
          <cell r="BA28">
            <v>580</v>
          </cell>
          <cell r="BB28">
            <v>1256</v>
          </cell>
          <cell r="BC28">
            <v>83</v>
          </cell>
          <cell r="BD28">
            <v>79</v>
          </cell>
          <cell r="BE28">
            <v>547</v>
          </cell>
          <cell r="BF28">
            <v>3</v>
          </cell>
          <cell r="BG28">
            <v>579</v>
          </cell>
          <cell r="BH28">
            <v>237</v>
          </cell>
          <cell r="BI28">
            <v>342</v>
          </cell>
          <cell r="BJ28">
            <v>1572</v>
          </cell>
          <cell r="BK28">
            <v>472</v>
          </cell>
          <cell r="BL28">
            <v>1100</v>
          </cell>
          <cell r="BM28">
            <v>253</v>
          </cell>
          <cell r="BN28">
            <v>693</v>
          </cell>
          <cell r="BO28">
            <v>468</v>
          </cell>
          <cell r="BP28">
            <v>365</v>
          </cell>
          <cell r="BQ28">
            <v>535</v>
          </cell>
          <cell r="BR28">
            <v>89</v>
          </cell>
          <cell r="BS28">
            <v>245</v>
          </cell>
          <cell r="BT28">
            <v>1003</v>
          </cell>
          <cell r="BU28">
            <v>127</v>
          </cell>
          <cell r="BV28">
            <v>604</v>
          </cell>
          <cell r="BW28">
            <v>117</v>
          </cell>
          <cell r="BX28">
            <v>380</v>
          </cell>
          <cell r="BY28">
            <v>298</v>
          </cell>
          <cell r="BZ28">
            <v>1929</v>
          </cell>
          <cell r="CA28">
            <v>1789</v>
          </cell>
          <cell r="CB28">
            <v>140</v>
          </cell>
          <cell r="CC28">
            <v>68</v>
          </cell>
          <cell r="CD28">
            <v>76</v>
          </cell>
          <cell r="CE28">
            <v>205</v>
          </cell>
          <cell r="CF28">
            <v>172</v>
          </cell>
          <cell r="CG28">
            <v>886</v>
          </cell>
          <cell r="CH28">
            <v>100</v>
          </cell>
          <cell r="CI28">
            <v>9134</v>
          </cell>
          <cell r="CJ28">
            <v>1336</v>
          </cell>
          <cell r="CK28">
            <v>1118</v>
          </cell>
          <cell r="CL28">
            <v>218</v>
          </cell>
          <cell r="CM28">
            <v>121</v>
          </cell>
          <cell r="CN28">
            <v>936</v>
          </cell>
          <cell r="CO28">
            <v>326</v>
          </cell>
          <cell r="CP28">
            <v>153</v>
          </cell>
          <cell r="CQ28">
            <v>53</v>
          </cell>
          <cell r="CR28">
            <v>27</v>
          </cell>
          <cell r="CS28">
            <v>314</v>
          </cell>
          <cell r="CT28">
            <v>475</v>
          </cell>
          <cell r="CU28">
            <v>149</v>
          </cell>
        </row>
        <row r="29">
          <cell r="A29" t="str">
            <v>Underground circuit kms ofline</v>
          </cell>
          <cell r="B29" t="str">
            <v>KMCU</v>
          </cell>
          <cell r="C29">
            <v>2005</v>
          </cell>
          <cell r="D29">
            <v>0</v>
          </cell>
          <cell r="E29">
            <v>808</v>
          </cell>
          <cell r="F29">
            <v>180</v>
          </cell>
          <cell r="G29">
            <v>27</v>
          </cell>
          <cell r="H29">
            <v>203</v>
          </cell>
          <cell r="I29">
            <v>570</v>
          </cell>
          <cell r="J29">
            <v>110</v>
          </cell>
          <cell r="K29">
            <v>362</v>
          </cell>
          <cell r="L29">
            <v>20</v>
          </cell>
          <cell r="M29">
            <v>63</v>
          </cell>
          <cell r="N29">
            <v>1</v>
          </cell>
          <cell r="O29">
            <v>224</v>
          </cell>
          <cell r="P29">
            <v>4</v>
          </cell>
          <cell r="Q29">
            <v>12</v>
          </cell>
          <cell r="R29">
            <v>1</v>
          </cell>
          <cell r="S29">
            <v>52</v>
          </cell>
          <cell r="T29">
            <v>371</v>
          </cell>
          <cell r="U29">
            <v>5</v>
          </cell>
          <cell r="V29">
            <v>3312</v>
          </cell>
          <cell r="W29">
            <v>55</v>
          </cell>
          <cell r="X29">
            <v>11</v>
          </cell>
          <cell r="Y29">
            <v>225</v>
          </cell>
          <cell r="Z29">
            <v>90</v>
          </cell>
          <cell r="AA29">
            <v>0</v>
          </cell>
          <cell r="AB29">
            <v>1</v>
          </cell>
          <cell r="AC29">
            <v>1</v>
          </cell>
          <cell r="AD29">
            <v>175</v>
          </cell>
          <cell r="AE29">
            <v>173</v>
          </cell>
          <cell r="AF29">
            <v>2</v>
          </cell>
          <cell r="AG29">
            <v>58</v>
          </cell>
          <cell r="AH29">
            <v>554</v>
          </cell>
          <cell r="AI29">
            <v>527</v>
          </cell>
          <cell r="AJ29">
            <v>27</v>
          </cell>
          <cell r="AK29">
            <v>80</v>
          </cell>
          <cell r="AL29">
            <v>445</v>
          </cell>
          <cell r="AM29">
            <v>1670</v>
          </cell>
          <cell r="AN29">
            <v>11</v>
          </cell>
          <cell r="AO29">
            <v>2</v>
          </cell>
          <cell r="AP29">
            <v>8</v>
          </cell>
          <cell r="AQ29">
            <v>1723</v>
          </cell>
          <cell r="AR29">
            <v>4220</v>
          </cell>
          <cell r="AS29">
            <v>4220</v>
          </cell>
          <cell r="AT29">
            <v>0</v>
          </cell>
          <cell r="AU29">
            <v>1924</v>
          </cell>
          <cell r="AV29">
            <v>104</v>
          </cell>
          <cell r="AW29">
            <v>10</v>
          </cell>
          <cell r="AX29">
            <v>106</v>
          </cell>
          <cell r="AY29">
            <v>684</v>
          </cell>
          <cell r="AZ29">
            <v>7</v>
          </cell>
          <cell r="BA29">
            <v>79</v>
          </cell>
          <cell r="BB29">
            <v>1280</v>
          </cell>
          <cell r="BC29">
            <v>34</v>
          </cell>
          <cell r="BD29">
            <v>36</v>
          </cell>
          <cell r="BE29">
            <v>241</v>
          </cell>
          <cell r="BF29">
            <v>1</v>
          </cell>
          <cell r="BG29">
            <v>421</v>
          </cell>
          <cell r="BH29">
            <v>407</v>
          </cell>
          <cell r="BI29">
            <v>14</v>
          </cell>
          <cell r="BJ29">
            <v>541</v>
          </cell>
          <cell r="BK29">
            <v>341</v>
          </cell>
          <cell r="BL29">
            <v>200</v>
          </cell>
          <cell r="BM29">
            <v>82</v>
          </cell>
          <cell r="BN29">
            <v>78</v>
          </cell>
          <cell r="BO29">
            <v>90</v>
          </cell>
          <cell r="BP29">
            <v>5</v>
          </cell>
          <cell r="BQ29">
            <v>812</v>
          </cell>
          <cell r="BR29">
            <v>64</v>
          </cell>
          <cell r="BS29">
            <v>54</v>
          </cell>
          <cell r="BT29">
            <v>999</v>
          </cell>
          <cell r="BU29">
            <v>19</v>
          </cell>
          <cell r="BV29">
            <v>111</v>
          </cell>
          <cell r="BW29">
            <v>11</v>
          </cell>
          <cell r="BX29">
            <v>156</v>
          </cell>
          <cell r="BY29">
            <v>8</v>
          </cell>
          <cell r="BZ29">
            <v>3928</v>
          </cell>
          <cell r="CA29">
            <v>3689</v>
          </cell>
          <cell r="CB29">
            <v>239</v>
          </cell>
          <cell r="CC29">
            <v>2</v>
          </cell>
          <cell r="CD29">
            <v>9</v>
          </cell>
          <cell r="CE29">
            <v>6</v>
          </cell>
          <cell r="CF29">
            <v>67</v>
          </cell>
          <cell r="CG29">
            <v>454</v>
          </cell>
          <cell r="CH29">
            <v>47</v>
          </cell>
          <cell r="CI29">
            <v>11288</v>
          </cell>
          <cell r="CJ29">
            <v>583</v>
          </cell>
          <cell r="CK29">
            <v>541</v>
          </cell>
          <cell r="CL29">
            <v>42</v>
          </cell>
          <cell r="CM29">
            <v>96</v>
          </cell>
          <cell r="CN29">
            <v>398</v>
          </cell>
          <cell r="CO29">
            <v>104</v>
          </cell>
          <cell r="CP29">
            <v>12</v>
          </cell>
          <cell r="CQ29">
            <v>12</v>
          </cell>
          <cell r="CR29">
            <v>7</v>
          </cell>
          <cell r="CS29">
            <v>118</v>
          </cell>
          <cell r="CT29">
            <v>505</v>
          </cell>
          <cell r="CU29">
            <v>104</v>
          </cell>
        </row>
        <row r="30">
          <cell r="A30" t="str">
            <v>Circuit kilometers 3 phase</v>
          </cell>
          <cell r="B30" t="str">
            <v>KMC3</v>
          </cell>
          <cell r="C30">
            <v>2005</v>
          </cell>
          <cell r="D30">
            <v>47</v>
          </cell>
          <cell r="E30">
            <v>705</v>
          </cell>
          <cell r="F30">
            <v>450</v>
          </cell>
          <cell r="G30">
            <v>202</v>
          </cell>
          <cell r="H30">
            <v>230</v>
          </cell>
          <cell r="I30">
            <v>119</v>
          </cell>
          <cell r="J30">
            <v>110</v>
          </cell>
          <cell r="K30">
            <v>458</v>
          </cell>
          <cell r="L30">
            <v>0</v>
          </cell>
          <cell r="M30">
            <v>68</v>
          </cell>
          <cell r="N30">
            <v>15</v>
          </cell>
          <cell r="O30">
            <v>503</v>
          </cell>
          <cell r="P30">
            <v>10</v>
          </cell>
          <cell r="Q30">
            <v>12</v>
          </cell>
          <cell r="R30">
            <v>5</v>
          </cell>
          <cell r="S30">
            <v>70</v>
          </cell>
          <cell r="T30">
            <v>684</v>
          </cell>
          <cell r="U30">
            <v>0</v>
          </cell>
          <cell r="V30">
            <v>3036</v>
          </cell>
          <cell r="W30">
            <v>14</v>
          </cell>
          <cell r="X30">
            <v>31</v>
          </cell>
          <cell r="Y30">
            <v>163</v>
          </cell>
          <cell r="Z30">
            <v>146</v>
          </cell>
          <cell r="AA30">
            <v>48</v>
          </cell>
          <cell r="AB30">
            <v>3</v>
          </cell>
          <cell r="AC30">
            <v>0</v>
          </cell>
          <cell r="AD30">
            <v>20</v>
          </cell>
          <cell r="AE30">
            <v>0</v>
          </cell>
          <cell r="AF30">
            <v>20</v>
          </cell>
          <cell r="AG30">
            <v>111</v>
          </cell>
          <cell r="AH30">
            <v>444</v>
          </cell>
          <cell r="AI30">
            <v>436</v>
          </cell>
          <cell r="AJ30">
            <v>8</v>
          </cell>
          <cell r="AK30">
            <v>605</v>
          </cell>
          <cell r="AL30">
            <v>392</v>
          </cell>
          <cell r="AM30">
            <v>1899</v>
          </cell>
          <cell r="AN30">
            <v>27</v>
          </cell>
          <cell r="AO30">
            <v>9</v>
          </cell>
          <cell r="AP30">
            <v>42</v>
          </cell>
          <cell r="AQ30">
            <v>1064</v>
          </cell>
          <cell r="AR30">
            <v>45144</v>
          </cell>
          <cell r="AS30">
            <v>45135</v>
          </cell>
          <cell r="AT30">
            <v>9</v>
          </cell>
          <cell r="AU30">
            <v>2788</v>
          </cell>
          <cell r="AV30">
            <v>291</v>
          </cell>
          <cell r="AW30">
            <v>61</v>
          </cell>
          <cell r="AX30">
            <v>252</v>
          </cell>
          <cell r="AY30">
            <v>740</v>
          </cell>
          <cell r="AZ30">
            <v>58</v>
          </cell>
          <cell r="BA30">
            <v>159</v>
          </cell>
          <cell r="BB30">
            <v>1168</v>
          </cell>
          <cell r="BC30">
            <v>63</v>
          </cell>
          <cell r="BD30">
            <v>78</v>
          </cell>
          <cell r="BE30">
            <v>413</v>
          </cell>
          <cell r="BF30">
            <v>1</v>
          </cell>
          <cell r="BG30">
            <v>299</v>
          </cell>
          <cell r="BH30">
            <v>268</v>
          </cell>
          <cell r="BI30">
            <v>31</v>
          </cell>
          <cell r="BJ30">
            <v>875</v>
          </cell>
          <cell r="BK30">
            <v>425</v>
          </cell>
          <cell r="BL30">
            <v>450</v>
          </cell>
          <cell r="BM30">
            <v>182</v>
          </cell>
          <cell r="BN30">
            <v>371</v>
          </cell>
          <cell r="BO30">
            <v>317</v>
          </cell>
          <cell r="BP30">
            <v>200</v>
          </cell>
          <cell r="BQ30">
            <v>706</v>
          </cell>
          <cell r="BR30">
            <v>84</v>
          </cell>
          <cell r="BS30">
            <v>218</v>
          </cell>
          <cell r="BT30">
            <v>349</v>
          </cell>
          <cell r="BU30">
            <v>96</v>
          </cell>
          <cell r="BV30">
            <v>449</v>
          </cell>
          <cell r="BW30">
            <v>84</v>
          </cell>
          <cell r="BX30">
            <v>348</v>
          </cell>
          <cell r="BY30">
            <v>0</v>
          </cell>
          <cell r="BZ30">
            <v>2667</v>
          </cell>
          <cell r="CA30">
            <v>2517</v>
          </cell>
          <cell r="CB30">
            <v>150</v>
          </cell>
          <cell r="CC30">
            <v>49</v>
          </cell>
          <cell r="CD30">
            <v>43</v>
          </cell>
          <cell r="CE30">
            <v>72</v>
          </cell>
          <cell r="CF30">
            <v>156</v>
          </cell>
          <cell r="CG30">
            <v>755</v>
          </cell>
          <cell r="CH30">
            <v>87</v>
          </cell>
          <cell r="CI30">
            <v>16776</v>
          </cell>
          <cell r="CJ30">
            <v>1036</v>
          </cell>
          <cell r="CK30">
            <v>959</v>
          </cell>
          <cell r="CL30">
            <v>77</v>
          </cell>
          <cell r="CM30">
            <v>88</v>
          </cell>
          <cell r="CN30">
            <v>880</v>
          </cell>
          <cell r="CO30">
            <v>277</v>
          </cell>
          <cell r="CP30">
            <v>139</v>
          </cell>
          <cell r="CQ30">
            <v>45</v>
          </cell>
          <cell r="CR30">
            <v>20</v>
          </cell>
          <cell r="CS30">
            <v>186</v>
          </cell>
          <cell r="CT30">
            <v>441</v>
          </cell>
          <cell r="CU30">
            <v>140</v>
          </cell>
        </row>
        <row r="31">
          <cell r="A31" t="str">
            <v>Circuit kilometers 2 phase</v>
          </cell>
          <cell r="B31" t="str">
            <v>KMC2</v>
          </cell>
          <cell r="C31">
            <v>2005</v>
          </cell>
          <cell r="D31">
            <v>0</v>
          </cell>
          <cell r="E31">
            <v>0</v>
          </cell>
          <cell r="F31">
            <v>5</v>
          </cell>
          <cell r="G31">
            <v>19</v>
          </cell>
          <cell r="H31">
            <v>0</v>
          </cell>
          <cell r="I31">
            <v>0</v>
          </cell>
          <cell r="J31">
            <v>0</v>
          </cell>
          <cell r="K31">
            <v>2</v>
          </cell>
          <cell r="L31">
            <v>0</v>
          </cell>
          <cell r="M31">
            <v>0</v>
          </cell>
          <cell r="N31">
            <v>2</v>
          </cell>
          <cell r="O31">
            <v>2</v>
          </cell>
          <cell r="P31">
            <v>1</v>
          </cell>
          <cell r="Q31">
            <v>1</v>
          </cell>
          <cell r="R31">
            <v>0</v>
          </cell>
          <cell r="S31">
            <v>1</v>
          </cell>
          <cell r="T31">
            <v>29</v>
          </cell>
          <cell r="U31">
            <v>0</v>
          </cell>
          <cell r="V31">
            <v>99</v>
          </cell>
          <cell r="W31">
            <v>5</v>
          </cell>
          <cell r="X31">
            <v>1</v>
          </cell>
          <cell r="Y31">
            <v>0</v>
          </cell>
          <cell r="Z31">
            <v>6</v>
          </cell>
          <cell r="AA31">
            <v>8</v>
          </cell>
          <cell r="AB31">
            <v>0</v>
          </cell>
          <cell r="AC31">
            <v>0</v>
          </cell>
          <cell r="AD31">
            <v>0</v>
          </cell>
          <cell r="AE31">
            <v>0</v>
          </cell>
          <cell r="AF31">
            <v>0</v>
          </cell>
          <cell r="AG31">
            <v>0</v>
          </cell>
          <cell r="AH31">
            <v>0</v>
          </cell>
          <cell r="AI31">
            <v>0</v>
          </cell>
          <cell r="AJ31">
            <v>0</v>
          </cell>
          <cell r="AK31">
            <v>59</v>
          </cell>
          <cell r="AL31">
            <v>0</v>
          </cell>
          <cell r="AM31">
            <v>81</v>
          </cell>
          <cell r="AN31">
            <v>0</v>
          </cell>
          <cell r="AO31">
            <v>0</v>
          </cell>
          <cell r="AP31">
            <v>0</v>
          </cell>
          <cell r="AQ31">
            <v>21</v>
          </cell>
          <cell r="AR31">
            <v>3575</v>
          </cell>
          <cell r="AS31">
            <v>3575</v>
          </cell>
          <cell r="AT31">
            <v>0</v>
          </cell>
          <cell r="AU31">
            <v>220</v>
          </cell>
          <cell r="AV31">
            <v>4</v>
          </cell>
          <cell r="AW31">
            <v>0</v>
          </cell>
          <cell r="AX31">
            <v>0</v>
          </cell>
          <cell r="AY31">
            <v>0</v>
          </cell>
          <cell r="AZ31">
            <v>0</v>
          </cell>
          <cell r="BA31">
            <v>34</v>
          </cell>
          <cell r="BB31">
            <v>0</v>
          </cell>
          <cell r="BC31">
            <v>0</v>
          </cell>
          <cell r="BD31">
            <v>0</v>
          </cell>
          <cell r="BE31">
            <v>25</v>
          </cell>
          <cell r="BF31">
            <v>0</v>
          </cell>
          <cell r="BG31">
            <v>7</v>
          </cell>
          <cell r="BH31">
            <v>0</v>
          </cell>
          <cell r="BI31">
            <v>7</v>
          </cell>
          <cell r="BJ31">
            <v>0</v>
          </cell>
          <cell r="BK31">
            <v>2</v>
          </cell>
          <cell r="BL31">
            <v>0</v>
          </cell>
          <cell r="BM31">
            <v>6</v>
          </cell>
          <cell r="BN31">
            <v>0</v>
          </cell>
          <cell r="BO31">
            <v>0</v>
          </cell>
          <cell r="BP31">
            <v>0</v>
          </cell>
          <cell r="BQ31">
            <v>0</v>
          </cell>
          <cell r="BR31">
            <v>0</v>
          </cell>
          <cell r="BS31">
            <v>6</v>
          </cell>
          <cell r="BT31">
            <v>0</v>
          </cell>
          <cell r="BU31">
            <v>1</v>
          </cell>
          <cell r="BV31">
            <v>10</v>
          </cell>
          <cell r="BW31">
            <v>0</v>
          </cell>
          <cell r="BX31">
            <v>8</v>
          </cell>
          <cell r="BY31">
            <v>0</v>
          </cell>
          <cell r="BZ31">
            <v>52</v>
          </cell>
          <cell r="CA31">
            <v>52</v>
          </cell>
          <cell r="CB31">
            <v>0</v>
          </cell>
          <cell r="CC31">
            <v>1</v>
          </cell>
          <cell r="CD31">
            <v>0</v>
          </cell>
          <cell r="CE31">
            <v>0</v>
          </cell>
          <cell r="CF31">
            <v>15</v>
          </cell>
          <cell r="CG31">
            <v>0</v>
          </cell>
          <cell r="CH31">
            <v>0</v>
          </cell>
          <cell r="CI31">
            <v>111</v>
          </cell>
          <cell r="CJ31">
            <v>21</v>
          </cell>
          <cell r="CK31">
            <v>20</v>
          </cell>
          <cell r="CL31">
            <v>1</v>
          </cell>
          <cell r="CM31">
            <v>7</v>
          </cell>
          <cell r="CN31">
            <v>42</v>
          </cell>
          <cell r="CO31">
            <v>0</v>
          </cell>
          <cell r="CP31">
            <v>0</v>
          </cell>
          <cell r="CQ31">
            <v>0</v>
          </cell>
          <cell r="CR31">
            <v>0</v>
          </cell>
          <cell r="CS31">
            <v>0</v>
          </cell>
          <cell r="CT31">
            <v>9</v>
          </cell>
          <cell r="CU31">
            <v>0</v>
          </cell>
        </row>
        <row r="32">
          <cell r="A32" t="str">
            <v>Circuit kms single phase</v>
          </cell>
          <cell r="B32" t="str">
            <v>KMC1</v>
          </cell>
          <cell r="C32">
            <v>2005</v>
          </cell>
          <cell r="D32">
            <v>45</v>
          </cell>
          <cell r="E32">
            <v>780</v>
          </cell>
          <cell r="F32">
            <v>330</v>
          </cell>
          <cell r="G32">
            <v>211</v>
          </cell>
          <cell r="H32">
            <v>247</v>
          </cell>
          <cell r="I32">
            <v>451</v>
          </cell>
          <cell r="J32">
            <v>230</v>
          </cell>
          <cell r="K32">
            <v>628</v>
          </cell>
          <cell r="L32">
            <v>0</v>
          </cell>
          <cell r="M32">
            <v>72</v>
          </cell>
          <cell r="N32">
            <v>9</v>
          </cell>
          <cell r="O32">
            <v>279</v>
          </cell>
          <cell r="P32">
            <v>10</v>
          </cell>
          <cell r="Q32">
            <v>14</v>
          </cell>
          <cell r="R32">
            <v>2</v>
          </cell>
          <cell r="S32">
            <v>70</v>
          </cell>
          <cell r="T32">
            <v>471</v>
          </cell>
          <cell r="U32">
            <v>0</v>
          </cell>
          <cell r="V32">
            <v>1892</v>
          </cell>
          <cell r="W32">
            <v>106</v>
          </cell>
          <cell r="X32">
            <v>105</v>
          </cell>
          <cell r="Y32">
            <v>294</v>
          </cell>
          <cell r="Z32">
            <v>123</v>
          </cell>
          <cell r="AA32">
            <v>27</v>
          </cell>
          <cell r="AB32">
            <v>2</v>
          </cell>
          <cell r="AC32">
            <v>0</v>
          </cell>
          <cell r="AD32">
            <v>16</v>
          </cell>
          <cell r="AE32">
            <v>0</v>
          </cell>
          <cell r="AF32">
            <v>16</v>
          </cell>
          <cell r="AG32">
            <v>127</v>
          </cell>
          <cell r="AH32">
            <v>531</v>
          </cell>
          <cell r="AI32">
            <v>502</v>
          </cell>
          <cell r="AJ32">
            <v>29</v>
          </cell>
          <cell r="AK32">
            <v>1001</v>
          </cell>
          <cell r="AL32">
            <v>924</v>
          </cell>
          <cell r="AM32">
            <v>1293</v>
          </cell>
          <cell r="AN32">
            <v>41</v>
          </cell>
          <cell r="AO32">
            <v>9</v>
          </cell>
          <cell r="AP32">
            <v>22</v>
          </cell>
          <cell r="AQ32">
            <v>1401</v>
          </cell>
          <cell r="AR32">
            <v>70931</v>
          </cell>
          <cell r="AS32">
            <v>70920</v>
          </cell>
          <cell r="AT32">
            <v>11</v>
          </cell>
          <cell r="AU32">
            <v>2234</v>
          </cell>
          <cell r="AV32">
            <v>198</v>
          </cell>
          <cell r="AW32">
            <v>37</v>
          </cell>
          <cell r="AX32">
            <v>96</v>
          </cell>
          <cell r="AY32">
            <v>965</v>
          </cell>
          <cell r="AZ32">
            <v>42</v>
          </cell>
          <cell r="BA32">
            <v>113</v>
          </cell>
          <cell r="BB32">
            <v>1368</v>
          </cell>
          <cell r="BC32">
            <v>44</v>
          </cell>
          <cell r="BD32">
            <v>25</v>
          </cell>
          <cell r="BE32">
            <v>350</v>
          </cell>
          <cell r="BF32">
            <v>3</v>
          </cell>
          <cell r="BG32">
            <v>0</v>
          </cell>
          <cell r="BH32">
            <v>376</v>
          </cell>
          <cell r="BI32">
            <v>304</v>
          </cell>
          <cell r="BJ32">
            <v>1236</v>
          </cell>
          <cell r="BK32">
            <v>386</v>
          </cell>
          <cell r="BL32">
            <v>850</v>
          </cell>
          <cell r="BM32">
            <v>152</v>
          </cell>
          <cell r="BN32">
            <v>380</v>
          </cell>
          <cell r="BO32">
            <v>240</v>
          </cell>
          <cell r="BP32">
            <v>170</v>
          </cell>
          <cell r="BQ32">
            <v>641</v>
          </cell>
          <cell r="BR32">
            <v>69</v>
          </cell>
          <cell r="BS32">
            <v>75</v>
          </cell>
          <cell r="BT32">
            <v>575</v>
          </cell>
          <cell r="BU32">
            <v>51</v>
          </cell>
          <cell r="BV32">
            <v>256</v>
          </cell>
          <cell r="BW32">
            <v>44</v>
          </cell>
          <cell r="BX32">
            <v>179</v>
          </cell>
          <cell r="BY32">
            <v>0</v>
          </cell>
          <cell r="BZ32">
            <v>3137</v>
          </cell>
          <cell r="CA32">
            <v>2908</v>
          </cell>
          <cell r="CB32">
            <v>229</v>
          </cell>
          <cell r="CC32">
            <v>20</v>
          </cell>
          <cell r="CD32">
            <v>43</v>
          </cell>
          <cell r="CE32">
            <v>139</v>
          </cell>
          <cell r="CF32">
            <v>69</v>
          </cell>
          <cell r="CG32">
            <v>584</v>
          </cell>
          <cell r="CH32">
            <v>60</v>
          </cell>
          <cell r="CI32">
            <v>3535</v>
          </cell>
          <cell r="CJ32">
            <v>731</v>
          </cell>
          <cell r="CK32">
            <v>541</v>
          </cell>
          <cell r="CL32">
            <v>190</v>
          </cell>
          <cell r="CM32">
            <v>121</v>
          </cell>
          <cell r="CN32">
            <v>410</v>
          </cell>
          <cell r="CO32">
            <v>153</v>
          </cell>
          <cell r="CP32">
            <v>26</v>
          </cell>
          <cell r="CQ32">
            <v>19</v>
          </cell>
          <cell r="CR32">
            <v>14</v>
          </cell>
          <cell r="CS32">
            <v>245</v>
          </cell>
          <cell r="CT32">
            <v>531</v>
          </cell>
          <cell r="CU32">
            <v>113</v>
          </cell>
        </row>
        <row r="33">
          <cell r="A33" t="str">
            <v>No transmission transformers</v>
          </cell>
          <cell r="B33" t="str">
            <v>NTRST</v>
          </cell>
          <cell r="C33">
            <v>2005</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1</v>
          </cell>
          <cell r="AQ33">
            <v>2</v>
          </cell>
          <cell r="AR33">
            <v>260</v>
          </cell>
          <cell r="AS33">
            <v>260</v>
          </cell>
          <cell r="AT33">
            <v>0</v>
          </cell>
          <cell r="AU33">
            <v>22</v>
          </cell>
          <cell r="AV33">
            <v>0</v>
          </cell>
          <cell r="AW33">
            <v>3</v>
          </cell>
          <cell r="AX33">
            <v>0</v>
          </cell>
          <cell r="AY33">
            <v>16</v>
          </cell>
          <cell r="AZ33">
            <v>0</v>
          </cell>
          <cell r="BA33">
            <v>0</v>
          </cell>
          <cell r="BB33">
            <v>0</v>
          </cell>
          <cell r="BC33">
            <v>0</v>
          </cell>
          <cell r="BD33">
            <v>0</v>
          </cell>
          <cell r="BE33">
            <v>0</v>
          </cell>
          <cell r="BF33">
            <v>0</v>
          </cell>
          <cell r="BG33">
            <v>0</v>
          </cell>
          <cell r="BH33">
            <v>0</v>
          </cell>
          <cell r="BI33">
            <v>0</v>
          </cell>
          <cell r="BJ33">
            <v>0</v>
          </cell>
          <cell r="BK33">
            <v>2</v>
          </cell>
          <cell r="BL33">
            <v>0</v>
          </cell>
          <cell r="BM33">
            <v>2</v>
          </cell>
          <cell r="BN33">
            <v>1</v>
          </cell>
          <cell r="BO33">
            <v>0</v>
          </cell>
          <cell r="BP33">
            <v>0</v>
          </cell>
          <cell r="BQ33">
            <v>0</v>
          </cell>
          <cell r="BR33">
            <v>0</v>
          </cell>
          <cell r="BS33">
            <v>0</v>
          </cell>
          <cell r="BT33">
            <v>0</v>
          </cell>
          <cell r="BU33">
            <v>0</v>
          </cell>
          <cell r="BV33">
            <v>8</v>
          </cell>
          <cell r="BW33">
            <v>0</v>
          </cell>
          <cell r="BX33">
            <v>0</v>
          </cell>
          <cell r="BY33">
            <v>0</v>
          </cell>
          <cell r="BZ33">
            <v>18</v>
          </cell>
          <cell r="CA33">
            <v>18</v>
          </cell>
          <cell r="CB33">
            <v>0</v>
          </cell>
          <cell r="CC33">
            <v>0</v>
          </cell>
          <cell r="CD33">
            <v>0</v>
          </cell>
          <cell r="CE33">
            <v>0</v>
          </cell>
          <cell r="CF33">
            <v>0</v>
          </cell>
          <cell r="CG33">
            <v>0</v>
          </cell>
          <cell r="CH33">
            <v>0</v>
          </cell>
          <cell r="CI33">
            <v>2</v>
          </cell>
          <cell r="CJ33">
            <v>0</v>
          </cell>
          <cell r="CK33">
            <v>0</v>
          </cell>
          <cell r="CL33">
            <v>0</v>
          </cell>
          <cell r="CM33">
            <v>0</v>
          </cell>
          <cell r="CN33">
            <v>8</v>
          </cell>
          <cell r="CO33">
            <v>0</v>
          </cell>
          <cell r="CP33">
            <v>0</v>
          </cell>
          <cell r="CQ33">
            <v>0</v>
          </cell>
          <cell r="CR33">
            <v>0</v>
          </cell>
          <cell r="CS33">
            <v>0</v>
          </cell>
          <cell r="CT33">
            <v>0</v>
          </cell>
          <cell r="CU33">
            <v>0</v>
          </cell>
        </row>
        <row r="34">
          <cell r="A34" t="str">
            <v>No subtransmission transformer</v>
          </cell>
          <cell r="B34" t="str">
            <v>NTRFST</v>
          </cell>
          <cell r="C34">
            <v>2005</v>
          </cell>
          <cell r="D34">
            <v>4</v>
          </cell>
          <cell r="E34">
            <v>41</v>
          </cell>
          <cell r="F34">
            <v>23</v>
          </cell>
          <cell r="G34">
            <v>0</v>
          </cell>
          <cell r="H34">
            <v>5</v>
          </cell>
          <cell r="I34">
            <v>0</v>
          </cell>
          <cell r="J34">
            <v>12</v>
          </cell>
          <cell r="K34">
            <v>8</v>
          </cell>
          <cell r="L34">
            <v>8</v>
          </cell>
          <cell r="M34">
            <v>6</v>
          </cell>
          <cell r="N34">
            <v>0</v>
          </cell>
          <cell r="O34">
            <v>44</v>
          </cell>
          <cell r="P34">
            <v>4</v>
          </cell>
          <cell r="Q34">
            <v>1</v>
          </cell>
          <cell r="R34">
            <v>0</v>
          </cell>
          <cell r="S34">
            <v>0</v>
          </cell>
          <cell r="T34">
            <v>25</v>
          </cell>
          <cell r="U34">
            <v>8</v>
          </cell>
          <cell r="V34">
            <v>112</v>
          </cell>
          <cell r="W34">
            <v>10</v>
          </cell>
          <cell r="X34">
            <v>0</v>
          </cell>
          <cell r="Y34">
            <v>6</v>
          </cell>
          <cell r="Z34">
            <v>10</v>
          </cell>
          <cell r="AA34">
            <v>0</v>
          </cell>
          <cell r="AB34">
            <v>0</v>
          </cell>
          <cell r="AC34">
            <v>0</v>
          </cell>
          <cell r="AD34">
            <v>37</v>
          </cell>
          <cell r="AE34">
            <v>30</v>
          </cell>
          <cell r="AF34">
            <v>7</v>
          </cell>
          <cell r="AG34">
            <v>0</v>
          </cell>
          <cell r="AH34">
            <v>1</v>
          </cell>
          <cell r="AI34">
            <v>0</v>
          </cell>
          <cell r="AJ34">
            <v>1</v>
          </cell>
          <cell r="AK34">
            <v>18</v>
          </cell>
          <cell r="AL34">
            <v>74</v>
          </cell>
          <cell r="AM34">
            <v>85</v>
          </cell>
          <cell r="AN34">
            <v>0</v>
          </cell>
          <cell r="AO34">
            <v>0</v>
          </cell>
          <cell r="AP34">
            <v>3</v>
          </cell>
          <cell r="AQ34">
            <v>24</v>
          </cell>
          <cell r="AR34">
            <v>1522</v>
          </cell>
          <cell r="AS34">
            <v>1522</v>
          </cell>
          <cell r="AT34">
            <v>0</v>
          </cell>
          <cell r="AU34">
            <v>154</v>
          </cell>
          <cell r="AV34">
            <v>15</v>
          </cell>
          <cell r="AW34">
            <v>0</v>
          </cell>
          <cell r="AX34">
            <v>34</v>
          </cell>
          <cell r="AY34">
            <v>7</v>
          </cell>
          <cell r="AZ34">
            <v>0</v>
          </cell>
          <cell r="BA34">
            <v>7</v>
          </cell>
          <cell r="BB34">
            <v>49</v>
          </cell>
          <cell r="BC34">
            <v>0</v>
          </cell>
          <cell r="BD34">
            <v>6</v>
          </cell>
          <cell r="BE34">
            <v>8</v>
          </cell>
          <cell r="BF34">
            <v>0</v>
          </cell>
          <cell r="BG34">
            <v>13</v>
          </cell>
          <cell r="BH34">
            <v>13</v>
          </cell>
          <cell r="BI34">
            <v>0</v>
          </cell>
          <cell r="BJ34">
            <v>0</v>
          </cell>
          <cell r="BK34">
            <v>0</v>
          </cell>
          <cell r="BL34">
            <v>0</v>
          </cell>
          <cell r="BM34">
            <v>32</v>
          </cell>
          <cell r="BN34">
            <v>14</v>
          </cell>
          <cell r="BO34">
            <v>20</v>
          </cell>
          <cell r="BP34">
            <v>0</v>
          </cell>
          <cell r="BQ34">
            <v>0</v>
          </cell>
          <cell r="BR34">
            <v>0</v>
          </cell>
          <cell r="BS34">
            <v>0</v>
          </cell>
          <cell r="BT34">
            <v>16</v>
          </cell>
          <cell r="BU34">
            <v>11</v>
          </cell>
          <cell r="BV34">
            <v>35</v>
          </cell>
          <cell r="BW34">
            <v>3</v>
          </cell>
          <cell r="BX34">
            <v>39</v>
          </cell>
          <cell r="BY34">
            <v>7</v>
          </cell>
          <cell r="BZ34">
            <v>24</v>
          </cell>
          <cell r="CA34">
            <v>15</v>
          </cell>
          <cell r="CB34">
            <v>9</v>
          </cell>
          <cell r="CC34">
            <v>5</v>
          </cell>
          <cell r="CD34">
            <v>9</v>
          </cell>
          <cell r="CE34">
            <v>0</v>
          </cell>
          <cell r="CF34">
            <v>0</v>
          </cell>
          <cell r="CG34">
            <v>37</v>
          </cell>
          <cell r="CH34">
            <v>5</v>
          </cell>
          <cell r="CI34">
            <v>0</v>
          </cell>
          <cell r="CJ34">
            <v>66</v>
          </cell>
          <cell r="CK34">
            <v>62</v>
          </cell>
          <cell r="CL34">
            <v>4</v>
          </cell>
          <cell r="CM34">
            <v>3</v>
          </cell>
          <cell r="CN34">
            <v>29</v>
          </cell>
          <cell r="CO34">
            <v>174</v>
          </cell>
          <cell r="CP34">
            <v>6</v>
          </cell>
          <cell r="CQ34">
            <v>4</v>
          </cell>
          <cell r="CR34">
            <v>0</v>
          </cell>
          <cell r="CS34">
            <v>27</v>
          </cell>
          <cell r="CT34">
            <v>17</v>
          </cell>
          <cell r="CU34">
            <v>0</v>
          </cell>
        </row>
        <row r="35">
          <cell r="A35" t="str">
            <v>No distribution transformers</v>
          </cell>
          <cell r="B35" t="str">
            <v>NTRFD</v>
          </cell>
          <cell r="C35">
            <v>2005</v>
          </cell>
          <cell r="D35">
            <v>324</v>
          </cell>
          <cell r="E35">
            <v>8863</v>
          </cell>
          <cell r="F35">
            <v>5014</v>
          </cell>
          <cell r="G35">
            <v>2631</v>
          </cell>
          <cell r="H35">
            <v>3315</v>
          </cell>
          <cell r="I35">
            <v>8669</v>
          </cell>
          <cell r="J35">
            <v>2020</v>
          </cell>
          <cell r="K35">
            <v>6743</v>
          </cell>
          <cell r="L35">
            <v>2316</v>
          </cell>
          <cell r="M35">
            <v>815</v>
          </cell>
          <cell r="N35">
            <v>1</v>
          </cell>
          <cell r="O35">
            <v>3545</v>
          </cell>
          <cell r="P35">
            <v>241</v>
          </cell>
          <cell r="Q35">
            <v>281</v>
          </cell>
          <cell r="R35">
            <v>66</v>
          </cell>
          <cell r="S35">
            <v>1530</v>
          </cell>
          <cell r="T35">
            <v>8096</v>
          </cell>
          <cell r="U35">
            <v>630</v>
          </cell>
          <cell r="V35">
            <v>25349</v>
          </cell>
          <cell r="W35">
            <v>1563</v>
          </cell>
          <cell r="X35">
            <v>703</v>
          </cell>
          <cell r="Y35">
            <v>3051</v>
          </cell>
          <cell r="Z35">
            <v>2418</v>
          </cell>
          <cell r="AA35">
            <v>792</v>
          </cell>
          <cell r="AB35">
            <v>113</v>
          </cell>
          <cell r="AC35">
            <v>5634</v>
          </cell>
          <cell r="AD35">
            <v>5485</v>
          </cell>
          <cell r="AE35">
            <v>5066</v>
          </cell>
          <cell r="AF35">
            <v>419</v>
          </cell>
          <cell r="AG35">
            <v>1420</v>
          </cell>
          <cell r="AH35">
            <v>5318</v>
          </cell>
          <cell r="AI35">
            <v>5066</v>
          </cell>
          <cell r="AJ35">
            <v>252</v>
          </cell>
          <cell r="AK35">
            <v>6935</v>
          </cell>
          <cell r="AL35">
            <v>3560</v>
          </cell>
          <cell r="AM35">
            <v>23413</v>
          </cell>
          <cell r="AN35">
            <v>59</v>
          </cell>
          <cell r="AO35">
            <v>175</v>
          </cell>
          <cell r="AP35">
            <v>736</v>
          </cell>
          <cell r="AQ35">
            <v>13963</v>
          </cell>
          <cell r="AR35">
            <v>525466</v>
          </cell>
          <cell r="AS35">
            <v>525294</v>
          </cell>
          <cell r="AT35">
            <v>172</v>
          </cell>
          <cell r="AU35">
            <v>38377</v>
          </cell>
          <cell r="AV35">
            <v>3222</v>
          </cell>
          <cell r="AW35">
            <v>688</v>
          </cell>
          <cell r="AX35">
            <v>2250</v>
          </cell>
          <cell r="AY35">
            <v>9613</v>
          </cell>
          <cell r="AZ35">
            <v>590</v>
          </cell>
          <cell r="BA35">
            <v>1735</v>
          </cell>
          <cell r="BB35">
            <v>14660</v>
          </cell>
          <cell r="BC35">
            <v>1108</v>
          </cell>
          <cell r="BD35">
            <v>1128</v>
          </cell>
          <cell r="BE35">
            <v>4133</v>
          </cell>
          <cell r="BF35">
            <v>15</v>
          </cell>
          <cell r="BG35">
            <v>3805</v>
          </cell>
          <cell r="BH35">
            <v>3150</v>
          </cell>
          <cell r="BI35">
            <v>655</v>
          </cell>
          <cell r="BJ35">
            <v>8227</v>
          </cell>
          <cell r="BK35">
            <v>4149</v>
          </cell>
          <cell r="BL35">
            <v>4078</v>
          </cell>
          <cell r="BM35">
            <v>1652</v>
          </cell>
          <cell r="BN35">
            <v>4562</v>
          </cell>
          <cell r="BO35">
            <v>5147</v>
          </cell>
          <cell r="BP35">
            <v>725</v>
          </cell>
          <cell r="BQ35">
            <v>7775</v>
          </cell>
          <cell r="BR35">
            <v>1240</v>
          </cell>
          <cell r="BS35">
            <v>1699</v>
          </cell>
          <cell r="BT35">
            <v>6286</v>
          </cell>
          <cell r="BU35">
            <v>1592</v>
          </cell>
          <cell r="BV35">
            <v>5944</v>
          </cell>
          <cell r="BW35">
            <v>687</v>
          </cell>
          <cell r="BX35">
            <v>3537</v>
          </cell>
          <cell r="BY35">
            <v>2042</v>
          </cell>
          <cell r="BZ35">
            <v>31029</v>
          </cell>
          <cell r="CA35">
            <v>31029</v>
          </cell>
          <cell r="CB35">
            <v>0</v>
          </cell>
          <cell r="CC35">
            <v>425</v>
          </cell>
          <cell r="CD35">
            <v>965</v>
          </cell>
          <cell r="CE35">
            <v>937</v>
          </cell>
          <cell r="CF35">
            <v>1301</v>
          </cell>
          <cell r="CG35">
            <v>6830</v>
          </cell>
          <cell r="CH35">
            <v>791</v>
          </cell>
          <cell r="CI35">
            <v>58605</v>
          </cell>
          <cell r="CJ35">
            <v>14882</v>
          </cell>
          <cell r="CK35">
            <v>13200</v>
          </cell>
          <cell r="CL35">
            <v>1682</v>
          </cell>
          <cell r="CM35">
            <v>1276</v>
          </cell>
          <cell r="CN35">
            <v>8898</v>
          </cell>
          <cell r="CO35">
            <v>2313</v>
          </cell>
          <cell r="CP35">
            <v>667</v>
          </cell>
          <cell r="CQ35">
            <v>430</v>
          </cell>
          <cell r="CR35">
            <v>0</v>
          </cell>
          <cell r="CS35">
            <v>2992</v>
          </cell>
          <cell r="CT35">
            <v>5007</v>
          </cell>
          <cell r="CU35">
            <v>1640</v>
          </cell>
        </row>
        <row r="36">
          <cell r="A36" t="str">
            <v>Utility average load factor</v>
          </cell>
          <cell r="B36" t="str">
            <v>LF</v>
          </cell>
          <cell r="C36">
            <v>2005</v>
          </cell>
          <cell r="D36">
            <v>77</v>
          </cell>
          <cell r="E36">
            <v>66</v>
          </cell>
          <cell r="F36">
            <v>78</v>
          </cell>
          <cell r="G36">
            <v>65</v>
          </cell>
          <cell r="H36">
            <v>74</v>
          </cell>
          <cell r="I36">
            <v>72</v>
          </cell>
          <cell r="J36">
            <v>78</v>
          </cell>
          <cell r="K36">
            <v>77</v>
          </cell>
          <cell r="L36">
            <v>72</v>
          </cell>
          <cell r="M36">
            <v>72</v>
          </cell>
          <cell r="N36">
            <v>74</v>
          </cell>
          <cell r="O36">
            <v>73</v>
          </cell>
          <cell r="P36">
            <v>69</v>
          </cell>
          <cell r="Q36">
            <v>68</v>
          </cell>
          <cell r="R36">
            <v>0</v>
          </cell>
          <cell r="S36">
            <v>0</v>
          </cell>
          <cell r="T36">
            <v>58</v>
          </cell>
          <cell r="U36">
            <v>0</v>
          </cell>
          <cell r="V36">
            <v>75</v>
          </cell>
          <cell r="W36">
            <v>74</v>
          </cell>
          <cell r="X36">
            <v>70</v>
          </cell>
          <cell r="Y36">
            <v>66</v>
          </cell>
          <cell r="Z36">
            <v>80</v>
          </cell>
          <cell r="AA36">
            <v>71</v>
          </cell>
          <cell r="AB36">
            <v>66</v>
          </cell>
          <cell r="AC36">
            <v>0</v>
          </cell>
          <cell r="AD36">
            <v>0</v>
          </cell>
          <cell r="AE36">
            <v>71</v>
          </cell>
          <cell r="AF36">
            <v>68</v>
          </cell>
          <cell r="AG36">
            <v>66</v>
          </cell>
          <cell r="AH36">
            <v>76</v>
          </cell>
          <cell r="AI36">
            <v>0</v>
          </cell>
          <cell r="AJ36">
            <v>62</v>
          </cell>
          <cell r="AK36">
            <v>68</v>
          </cell>
          <cell r="AL36">
            <v>0</v>
          </cell>
          <cell r="AM36">
            <v>76</v>
          </cell>
          <cell r="AN36">
            <v>70</v>
          </cell>
          <cell r="AO36">
            <v>70</v>
          </cell>
          <cell r="AP36">
            <v>71</v>
          </cell>
          <cell r="AQ36">
            <v>74</v>
          </cell>
          <cell r="AR36">
            <v>0</v>
          </cell>
          <cell r="AS36">
            <v>77</v>
          </cell>
          <cell r="AT36">
            <v>68</v>
          </cell>
          <cell r="AU36">
            <v>72</v>
          </cell>
          <cell r="AV36">
            <v>46</v>
          </cell>
          <cell r="AW36">
            <v>73</v>
          </cell>
          <cell r="AX36">
            <v>60</v>
          </cell>
          <cell r="AY36">
            <v>72</v>
          </cell>
          <cell r="AZ36">
            <v>75</v>
          </cell>
          <cell r="BA36">
            <v>73</v>
          </cell>
          <cell r="BB36">
            <v>72</v>
          </cell>
          <cell r="BC36">
            <v>71</v>
          </cell>
          <cell r="BD36">
            <v>72</v>
          </cell>
          <cell r="BE36">
            <v>74</v>
          </cell>
          <cell r="BF36">
            <v>0</v>
          </cell>
          <cell r="BG36">
            <v>0</v>
          </cell>
          <cell r="BH36">
            <v>70</v>
          </cell>
          <cell r="BI36">
            <v>69</v>
          </cell>
          <cell r="BJ36">
            <v>0</v>
          </cell>
          <cell r="BK36">
            <v>73</v>
          </cell>
          <cell r="BL36">
            <v>0</v>
          </cell>
          <cell r="BM36">
            <v>76</v>
          </cell>
          <cell r="BN36">
            <v>0</v>
          </cell>
          <cell r="BO36">
            <v>74</v>
          </cell>
          <cell r="BP36">
            <v>73</v>
          </cell>
          <cell r="BQ36">
            <v>70</v>
          </cell>
          <cell r="BR36">
            <v>72</v>
          </cell>
          <cell r="BS36">
            <v>74</v>
          </cell>
          <cell r="BT36">
            <v>51</v>
          </cell>
          <cell r="BU36">
            <v>0</v>
          </cell>
          <cell r="BV36">
            <v>75</v>
          </cell>
          <cell r="BW36">
            <v>76</v>
          </cell>
          <cell r="BX36">
            <v>72</v>
          </cell>
          <cell r="BY36">
            <v>67</v>
          </cell>
          <cell r="BZ36">
            <v>71</v>
          </cell>
          <cell r="CA36">
            <v>0</v>
          </cell>
          <cell r="CB36">
            <v>0</v>
          </cell>
          <cell r="CC36">
            <v>69</v>
          </cell>
          <cell r="CD36">
            <v>0</v>
          </cell>
          <cell r="CE36">
            <v>8</v>
          </cell>
          <cell r="CF36">
            <v>0</v>
          </cell>
          <cell r="CG36">
            <v>74</v>
          </cell>
          <cell r="CH36">
            <v>76</v>
          </cell>
          <cell r="CI36">
            <v>75</v>
          </cell>
          <cell r="CJ36">
            <v>74</v>
          </cell>
          <cell r="CK36">
            <v>0</v>
          </cell>
          <cell r="CL36">
            <v>72</v>
          </cell>
          <cell r="CM36">
            <v>67</v>
          </cell>
          <cell r="CN36">
            <v>71</v>
          </cell>
          <cell r="CO36">
            <v>69</v>
          </cell>
          <cell r="CP36">
            <v>88</v>
          </cell>
          <cell r="CQ36">
            <v>76</v>
          </cell>
          <cell r="CR36">
            <v>0</v>
          </cell>
          <cell r="CS36">
            <v>69</v>
          </cell>
          <cell r="CT36">
            <v>72</v>
          </cell>
          <cell r="CU36">
            <v>74</v>
          </cell>
        </row>
      </sheetData>
      <sheetData sheetId="6" refreshError="1">
        <row r="1">
          <cell r="A1" t="str">
            <v>Distributor Data for Year ended Dec 31st, 2006</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Plant Additions</v>
          </cell>
          <cell r="B6" t="str">
            <v>PADD</v>
          </cell>
          <cell r="C6">
            <v>2006</v>
          </cell>
          <cell r="D6">
            <v>109896.89</v>
          </cell>
          <cell r="E6">
            <v>17769650</v>
          </cell>
          <cell r="F6">
            <v>4097888</v>
          </cell>
          <cell r="G6">
            <v>1701476.94</v>
          </cell>
          <cell r="H6">
            <v>5905835</v>
          </cell>
          <cell r="I6">
            <v>8196416.3300000001</v>
          </cell>
          <cell r="J6">
            <v>904081</v>
          </cell>
          <cell r="K6">
            <v>9021293</v>
          </cell>
          <cell r="L6">
            <v>3684687.31</v>
          </cell>
          <cell r="M6">
            <v>640611.39</v>
          </cell>
          <cell r="N6">
            <v>24291</v>
          </cell>
          <cell r="O6">
            <v>4884102</v>
          </cell>
          <cell r="P6">
            <v>78211.399999999994</v>
          </cell>
          <cell r="Q6">
            <v>0</v>
          </cell>
          <cell r="R6">
            <v>15497.79</v>
          </cell>
          <cell r="S6">
            <v>302762.77</v>
          </cell>
          <cell r="T6">
            <v>7313900</v>
          </cell>
          <cell r="U6">
            <v>1859165.96</v>
          </cell>
          <cell r="V6">
            <v>35886428</v>
          </cell>
          <cell r="W6">
            <v>1788589.37</v>
          </cell>
          <cell r="X6">
            <v>1233.58</v>
          </cell>
          <cell r="Y6">
            <v>3677870</v>
          </cell>
          <cell r="Z6">
            <v>2804029</v>
          </cell>
          <cell r="AA6">
            <v>174354.54</v>
          </cell>
          <cell r="AB6">
            <v>30072.89</v>
          </cell>
          <cell r="AC6">
            <v>7052228</v>
          </cell>
          <cell r="AD6">
            <v>6454742.7400000002</v>
          </cell>
          <cell r="AE6">
            <v>6137566</v>
          </cell>
          <cell r="AF6">
            <v>317176.74</v>
          </cell>
          <cell r="AG6">
            <v>884090.83</v>
          </cell>
          <cell r="AH6">
            <v>11569000</v>
          </cell>
          <cell r="AI6">
            <v>3275338.15</v>
          </cell>
          <cell r="AJ6">
            <v>4617056</v>
          </cell>
          <cell r="AK6">
            <v>57943</v>
          </cell>
          <cell r="AL6">
            <v>31425369</v>
          </cell>
          <cell r="AM6">
            <v>51362</v>
          </cell>
          <cell r="AN6">
            <v>150887.62</v>
          </cell>
          <cell r="AO6">
            <v>21563451</v>
          </cell>
          <cell r="AP6">
            <v>378520922.75999999</v>
          </cell>
          <cell r="AQ6">
            <v>378500000</v>
          </cell>
          <cell r="AR6">
            <v>20922.759999999998</v>
          </cell>
          <cell r="AS6">
            <v>70722819</v>
          </cell>
          <cell r="AT6">
            <v>1298789</v>
          </cell>
          <cell r="AU6">
            <v>344390.69</v>
          </cell>
          <cell r="AV6">
            <v>2501729</v>
          </cell>
          <cell r="AW6">
            <v>14663461.140000001</v>
          </cell>
          <cell r="AX6">
            <v>1173063</v>
          </cell>
          <cell r="AY6">
            <v>1543831.43</v>
          </cell>
          <cell r="AZ6">
            <v>14799324</v>
          </cell>
          <cell r="BA6">
            <v>1118084</v>
          </cell>
          <cell r="BB6">
            <v>953561.45</v>
          </cell>
          <cell r="BC6">
            <v>9527762.4199999999</v>
          </cell>
          <cell r="BD6">
            <v>0</v>
          </cell>
          <cell r="BE6">
            <v>6859536.1499999994</v>
          </cell>
          <cell r="BF6">
            <v>6389729.0999999996</v>
          </cell>
          <cell r="BG6">
            <v>469807.05</v>
          </cell>
          <cell r="BH6">
            <v>8641056.0800000001</v>
          </cell>
          <cell r="BI6">
            <v>4672285</v>
          </cell>
          <cell r="BJ6">
            <v>3968771.08</v>
          </cell>
          <cell r="BK6">
            <v>1517368.09</v>
          </cell>
          <cell r="BL6">
            <v>5049756</v>
          </cell>
          <cell r="BM6">
            <v>4459906</v>
          </cell>
          <cell r="BN6">
            <v>184227.9</v>
          </cell>
          <cell r="BO6">
            <v>13350051</v>
          </cell>
          <cell r="BP6">
            <v>1423059.72</v>
          </cell>
          <cell r="BQ6">
            <v>1552615</v>
          </cell>
          <cell r="BR6">
            <v>10634423</v>
          </cell>
          <cell r="BS6">
            <v>736153.97</v>
          </cell>
          <cell r="BT6">
            <v>3356036</v>
          </cell>
          <cell r="BU6">
            <v>133808.54999999999</v>
          </cell>
          <cell r="BV6">
            <v>5752245</v>
          </cell>
          <cell r="BW6">
            <v>1525495.46</v>
          </cell>
          <cell r="BX6">
            <v>56197851.420000002</v>
          </cell>
          <cell r="BY6">
            <v>286661</v>
          </cell>
          <cell r="BZ6">
            <v>252818.7</v>
          </cell>
          <cell r="CA6">
            <v>208644.3</v>
          </cell>
          <cell r="CB6">
            <v>2184234.13</v>
          </cell>
          <cell r="CC6">
            <v>6936925</v>
          </cell>
          <cell r="CD6">
            <v>996413</v>
          </cell>
          <cell r="CE6">
            <v>198056369</v>
          </cell>
          <cell r="CF6">
            <v>14935375</v>
          </cell>
          <cell r="CG6">
            <v>940822</v>
          </cell>
          <cell r="CH6">
            <v>13835703</v>
          </cell>
          <cell r="CI6">
            <v>1954654</v>
          </cell>
          <cell r="CJ6">
            <v>1064040.98</v>
          </cell>
          <cell r="CK6">
            <v>0</v>
          </cell>
          <cell r="CL6">
            <v>221249</v>
          </cell>
          <cell r="CM6">
            <v>4717752</v>
          </cell>
          <cell r="CN6">
            <v>6468970</v>
          </cell>
          <cell r="CO6">
            <v>2030837.23</v>
          </cell>
        </row>
        <row r="7">
          <cell r="A7" t="str">
            <v>OM&amp;A Expense</v>
          </cell>
          <cell r="B7" t="str">
            <v>COMA</v>
          </cell>
          <cell r="C7">
            <v>2006</v>
          </cell>
          <cell r="D7">
            <v>649442.06999999995</v>
          </cell>
          <cell r="E7">
            <v>7902681</v>
          </cell>
          <cell r="F7">
            <v>9253070</v>
          </cell>
          <cell r="G7">
            <v>3267333.3499999996</v>
          </cell>
          <cell r="H7">
            <v>6078311.7300000004</v>
          </cell>
          <cell r="I7">
            <v>11587446.66</v>
          </cell>
          <cell r="J7">
            <v>3128281.3</v>
          </cell>
          <cell r="K7">
            <v>7102651</v>
          </cell>
          <cell r="L7">
            <v>4354001.16</v>
          </cell>
          <cell r="M7">
            <v>1410326.67</v>
          </cell>
          <cell r="N7">
            <v>474009.24</v>
          </cell>
          <cell r="O7">
            <v>5020736.1400000006</v>
          </cell>
          <cell r="P7">
            <v>453555.85</v>
          </cell>
          <cell r="Q7">
            <v>361838.47000000003</v>
          </cell>
          <cell r="R7">
            <v>139786.57999999999</v>
          </cell>
          <cell r="S7">
            <v>1780664.85</v>
          </cell>
          <cell r="T7">
            <v>21334462</v>
          </cell>
          <cell r="U7">
            <v>1466115.63</v>
          </cell>
          <cell r="V7">
            <v>38065577</v>
          </cell>
          <cell r="W7">
            <v>4143663.6100000003</v>
          </cell>
          <cell r="X7">
            <v>976683.41</v>
          </cell>
          <cell r="Y7">
            <v>5884849.5800000001</v>
          </cell>
          <cell r="Z7">
            <v>3179526.09</v>
          </cell>
          <cell r="AA7">
            <v>1050968.82</v>
          </cell>
          <cell r="AB7">
            <v>237406.91</v>
          </cell>
          <cell r="AC7">
            <v>7556451.5300000003</v>
          </cell>
          <cell r="AD7">
            <v>9346129.6199999992</v>
          </cell>
          <cell r="AE7">
            <v>8782264.5399999991</v>
          </cell>
          <cell r="AF7">
            <v>563865.08000000007</v>
          </cell>
          <cell r="AG7">
            <v>1460166</v>
          </cell>
          <cell r="AH7">
            <v>8663975.1600000001</v>
          </cell>
          <cell r="AI7">
            <v>5377711.2800000003</v>
          </cell>
          <cell r="AJ7">
            <v>4352958</v>
          </cell>
          <cell r="AK7">
            <v>641459.08000000007</v>
          </cell>
          <cell r="AL7">
            <v>31731697.02</v>
          </cell>
          <cell r="AM7">
            <v>214850.83</v>
          </cell>
          <cell r="AN7">
            <v>677885.84</v>
          </cell>
          <cell r="AO7">
            <v>15145220.98</v>
          </cell>
          <cell r="AP7">
            <v>374027584.06</v>
          </cell>
          <cell r="AQ7">
            <v>373736600</v>
          </cell>
          <cell r="AR7">
            <v>290984.06</v>
          </cell>
          <cell r="AS7">
            <v>39371029.949999988</v>
          </cell>
          <cell r="AT7">
            <v>2822634.03</v>
          </cell>
          <cell r="AU7">
            <v>1238329.1100000001</v>
          </cell>
          <cell r="AV7">
            <v>4321594</v>
          </cell>
          <cell r="AW7">
            <v>11238095.76</v>
          </cell>
          <cell r="AX7">
            <v>1762724.8199999998</v>
          </cell>
          <cell r="AY7">
            <v>2197717.1800000002</v>
          </cell>
          <cell r="AZ7">
            <v>23004940.010000002</v>
          </cell>
          <cell r="BA7">
            <v>1433827.6300000001</v>
          </cell>
          <cell r="BB7">
            <v>1684646.56</v>
          </cell>
          <cell r="BC7">
            <v>4029180.06</v>
          </cell>
          <cell r="BD7">
            <v>48198</v>
          </cell>
          <cell r="BE7">
            <v>5497459.8900000006</v>
          </cell>
          <cell r="BF7">
            <v>4804202</v>
          </cell>
          <cell r="BG7">
            <v>693257.89</v>
          </cell>
          <cell r="BH7">
            <v>12349734.83</v>
          </cell>
          <cell r="BI7">
            <v>7731025</v>
          </cell>
          <cell r="BJ7">
            <v>4618709.8299999991</v>
          </cell>
          <cell r="BK7">
            <v>1479291.29</v>
          </cell>
          <cell r="BL7">
            <v>3856060.0900000003</v>
          </cell>
          <cell r="BM7">
            <v>5475700.5600000015</v>
          </cell>
          <cell r="BN7">
            <v>1709688.93</v>
          </cell>
          <cell r="BO7">
            <v>10953937.5</v>
          </cell>
          <cell r="BP7">
            <v>1678142.8299999998</v>
          </cell>
          <cell r="BQ7">
            <v>3278174.1500000004</v>
          </cell>
          <cell r="BR7">
            <v>7571117.0899999999</v>
          </cell>
          <cell r="BS7">
            <v>1988954.76</v>
          </cell>
          <cell r="BT7">
            <v>6582711.6800000006</v>
          </cell>
          <cell r="BU7">
            <v>1000744.0899999999</v>
          </cell>
          <cell r="BV7">
            <v>6090168.0300000003</v>
          </cell>
          <cell r="BW7">
            <v>4027831.67</v>
          </cell>
          <cell r="BX7">
            <v>35119786.150000006</v>
          </cell>
          <cell r="BY7">
            <v>872133.11999999988</v>
          </cell>
          <cell r="BZ7">
            <v>1319784.04</v>
          </cell>
          <cell r="CA7">
            <v>980527.73</v>
          </cell>
          <cell r="CB7">
            <v>3300094.64</v>
          </cell>
          <cell r="CC7">
            <v>10500903.51</v>
          </cell>
          <cell r="CD7">
            <v>1578564</v>
          </cell>
          <cell r="CE7">
            <v>139266976.64000002</v>
          </cell>
          <cell r="CF7">
            <v>19212396</v>
          </cell>
          <cell r="CG7">
            <v>1701254.77</v>
          </cell>
          <cell r="CH7">
            <v>8417375.1400000006</v>
          </cell>
          <cell r="CI7">
            <v>3855996</v>
          </cell>
          <cell r="CJ7">
            <v>1002650.3499999999</v>
          </cell>
          <cell r="CK7">
            <v>1426412</v>
          </cell>
          <cell r="CL7">
            <v>515290.49</v>
          </cell>
          <cell r="CM7">
            <v>4206830</v>
          </cell>
          <cell r="CN7">
            <v>7560037.1500000004</v>
          </cell>
          <cell r="CO7">
            <v>3054668.4499999997</v>
          </cell>
        </row>
        <row r="8">
          <cell r="A8" t="str">
            <v>Income Taxes</v>
          </cell>
          <cell r="B8" t="str">
            <v>CTAXINC</v>
          </cell>
          <cell r="C8">
            <v>2006</v>
          </cell>
          <cell r="D8">
            <v>0</v>
          </cell>
          <cell r="E8">
            <v>5450000</v>
          </cell>
          <cell r="F8">
            <v>1225000</v>
          </cell>
          <cell r="G8">
            <v>830728</v>
          </cell>
          <cell r="H8">
            <v>2529172</v>
          </cell>
          <cell r="I8">
            <v>3045581.01</v>
          </cell>
          <cell r="J8">
            <v>223436</v>
          </cell>
          <cell r="K8">
            <v>2510845</v>
          </cell>
          <cell r="L8">
            <v>91588</v>
          </cell>
          <cell r="M8">
            <v>246816.31</v>
          </cell>
          <cell r="N8">
            <v>0</v>
          </cell>
          <cell r="O8">
            <v>2034067</v>
          </cell>
          <cell r="P8">
            <v>0</v>
          </cell>
          <cell r="Q8">
            <v>42720</v>
          </cell>
          <cell r="R8">
            <v>0</v>
          </cell>
          <cell r="S8">
            <v>559840</v>
          </cell>
          <cell r="T8">
            <v>-4398050</v>
          </cell>
          <cell r="U8">
            <v>43871</v>
          </cell>
          <cell r="V8">
            <v>10118758</v>
          </cell>
          <cell r="W8">
            <v>-20737.86</v>
          </cell>
          <cell r="X8">
            <v>0</v>
          </cell>
          <cell r="Y8">
            <v>290540</v>
          </cell>
          <cell r="Z8">
            <v>1020000</v>
          </cell>
          <cell r="AA8">
            <v>40565</v>
          </cell>
          <cell r="AB8">
            <v>0</v>
          </cell>
          <cell r="AC8">
            <v>244530.56</v>
          </cell>
          <cell r="AD8">
            <v>1227773.97</v>
          </cell>
          <cell r="AE8">
            <v>1213714.97</v>
          </cell>
          <cell r="AF8">
            <v>14059</v>
          </cell>
          <cell r="AG8">
            <v>205734.14</v>
          </cell>
          <cell r="AH8">
            <v>2142845</v>
          </cell>
          <cell r="AI8">
            <v>1420327</v>
          </cell>
          <cell r="AJ8">
            <v>731486</v>
          </cell>
          <cell r="AK8">
            <v>13059</v>
          </cell>
          <cell r="AL8">
            <v>7593510.5</v>
          </cell>
          <cell r="AM8">
            <v>924</v>
          </cell>
          <cell r="AN8">
            <v>56324</v>
          </cell>
          <cell r="AO8">
            <v>8825938</v>
          </cell>
          <cell r="AP8">
            <v>47218994</v>
          </cell>
          <cell r="AQ8">
            <v>47207300</v>
          </cell>
          <cell r="AR8">
            <v>11694</v>
          </cell>
          <cell r="AS8">
            <v>11375241.359999999</v>
          </cell>
          <cell r="AT8">
            <v>1045000</v>
          </cell>
          <cell r="AU8">
            <v>10140</v>
          </cell>
          <cell r="AV8">
            <v>986690</v>
          </cell>
          <cell r="AW8">
            <v>3257773</v>
          </cell>
          <cell r="AX8">
            <v>306478.25</v>
          </cell>
          <cell r="AY8">
            <v>400249</v>
          </cell>
          <cell r="AZ8">
            <v>4894900</v>
          </cell>
          <cell r="BA8">
            <v>596528</v>
          </cell>
          <cell r="BB8">
            <v>496000</v>
          </cell>
          <cell r="BC8">
            <v>984223.12</v>
          </cell>
          <cell r="BD8">
            <v>0</v>
          </cell>
          <cell r="BE8">
            <v>2487047.67</v>
          </cell>
          <cell r="BF8">
            <v>2221551</v>
          </cell>
          <cell r="BG8">
            <v>265496.67</v>
          </cell>
          <cell r="BH8">
            <v>2638981</v>
          </cell>
          <cell r="BI8">
            <v>1849497</v>
          </cell>
          <cell r="BJ8">
            <v>789484</v>
          </cell>
          <cell r="BK8">
            <v>468793.44</v>
          </cell>
          <cell r="BL8">
            <v>500945</v>
          </cell>
          <cell r="BM8">
            <v>520343</v>
          </cell>
          <cell r="BN8">
            <v>12629</v>
          </cell>
          <cell r="BO8">
            <v>4580301.7</v>
          </cell>
          <cell r="BP8">
            <v>579143.87</v>
          </cell>
          <cell r="BQ8">
            <v>699818</v>
          </cell>
          <cell r="BR8">
            <v>2125000.2599999998</v>
          </cell>
          <cell r="BS8">
            <v>229775</v>
          </cell>
          <cell r="BT8">
            <v>0</v>
          </cell>
          <cell r="BU8">
            <v>94800</v>
          </cell>
          <cell r="BV8">
            <v>1817789.32</v>
          </cell>
          <cell r="BW8">
            <v>95557</v>
          </cell>
          <cell r="BX8">
            <v>11464622.17</v>
          </cell>
          <cell r="BY8">
            <v>61856</v>
          </cell>
          <cell r="BZ8">
            <v>25909</v>
          </cell>
          <cell r="CA8">
            <v>33368</v>
          </cell>
          <cell r="CB8">
            <v>451574</v>
          </cell>
          <cell r="CC8">
            <v>1213708</v>
          </cell>
          <cell r="CD8">
            <v>122000</v>
          </cell>
          <cell r="CE8">
            <v>46001084</v>
          </cell>
          <cell r="CF8">
            <v>5099537</v>
          </cell>
          <cell r="CG8">
            <v>264395</v>
          </cell>
          <cell r="CH8">
            <v>2771702</v>
          </cell>
          <cell r="CI8">
            <v>641458</v>
          </cell>
          <cell r="CJ8">
            <v>24574</v>
          </cell>
          <cell r="CK8">
            <v>0</v>
          </cell>
          <cell r="CL8">
            <v>4070</v>
          </cell>
          <cell r="CM8">
            <v>884176</v>
          </cell>
          <cell r="CN8">
            <v>2680897</v>
          </cell>
          <cell r="CO8">
            <v>384291.95</v>
          </cell>
        </row>
        <row r="9">
          <cell r="A9" t="str">
            <v>Customers</v>
          </cell>
          <cell r="B9" t="str">
            <v>YN</v>
          </cell>
          <cell r="C9">
            <v>2006</v>
          </cell>
          <cell r="D9">
            <v>1720</v>
          </cell>
          <cell r="E9">
            <v>67523</v>
          </cell>
          <cell r="F9">
            <v>35510</v>
          </cell>
          <cell r="G9">
            <v>9284</v>
          </cell>
          <cell r="H9">
            <v>36569</v>
          </cell>
          <cell r="I9">
            <v>60749</v>
          </cell>
          <cell r="J9">
            <v>14300</v>
          </cell>
          <cell r="K9">
            <v>48619</v>
          </cell>
          <cell r="L9">
            <v>15329</v>
          </cell>
          <cell r="M9">
            <v>6158</v>
          </cell>
          <cell r="N9">
            <v>1316</v>
          </cell>
          <cell r="O9">
            <v>31966</v>
          </cell>
          <cell r="P9">
            <v>1616</v>
          </cell>
          <cell r="Q9">
            <v>1836</v>
          </cell>
          <cell r="R9">
            <v>600</v>
          </cell>
          <cell r="S9">
            <v>10626</v>
          </cell>
          <cell r="T9">
            <v>84701</v>
          </cell>
          <cell r="U9">
            <v>3552</v>
          </cell>
          <cell r="V9">
            <v>182596</v>
          </cell>
          <cell r="W9">
            <v>13807</v>
          </cell>
          <cell r="X9">
            <v>3331</v>
          </cell>
          <cell r="Y9">
            <v>27636</v>
          </cell>
          <cell r="Z9">
            <v>19025</v>
          </cell>
          <cell r="AA9">
            <v>3981</v>
          </cell>
          <cell r="AB9">
            <v>678</v>
          </cell>
          <cell r="AC9">
            <v>11491</v>
          </cell>
          <cell r="AD9">
            <v>46020</v>
          </cell>
          <cell r="AE9">
            <v>42912</v>
          </cell>
          <cell r="AF9">
            <v>3108</v>
          </cell>
          <cell r="AG9">
            <v>9508</v>
          </cell>
          <cell r="AH9">
            <v>58941</v>
          </cell>
          <cell r="AI9">
            <v>20577</v>
          </cell>
          <cell r="AJ9">
            <v>19007</v>
          </cell>
          <cell r="AK9">
            <v>2757</v>
          </cell>
          <cell r="AL9">
            <v>231499</v>
          </cell>
          <cell r="AM9">
            <v>1138</v>
          </cell>
          <cell r="AN9">
            <v>5286</v>
          </cell>
          <cell r="AO9">
            <v>120364</v>
          </cell>
          <cell r="AP9">
            <v>1164887</v>
          </cell>
          <cell r="AQ9">
            <v>1163961</v>
          </cell>
          <cell r="AR9">
            <v>926</v>
          </cell>
          <cell r="AS9">
            <v>282393</v>
          </cell>
          <cell r="AT9">
            <v>13832</v>
          </cell>
          <cell r="AU9">
            <v>5828</v>
          </cell>
          <cell r="AV9">
            <v>26525</v>
          </cell>
          <cell r="AW9">
            <v>80940</v>
          </cell>
          <cell r="AX9">
            <v>9048</v>
          </cell>
          <cell r="AY9">
            <v>9050</v>
          </cell>
          <cell r="AZ9">
            <v>140007</v>
          </cell>
          <cell r="BA9">
            <v>6909</v>
          </cell>
          <cell r="BB9">
            <v>6634</v>
          </cell>
          <cell r="BC9">
            <v>20975</v>
          </cell>
          <cell r="BD9">
            <v>192</v>
          </cell>
          <cell r="BE9">
            <v>30684</v>
          </cell>
          <cell r="BF9">
            <v>26647</v>
          </cell>
          <cell r="BG9">
            <v>4037</v>
          </cell>
          <cell r="BH9">
            <v>48493</v>
          </cell>
          <cell r="BI9">
            <v>33234</v>
          </cell>
          <cell r="BJ9">
            <v>15259</v>
          </cell>
          <cell r="BK9">
            <v>7703</v>
          </cell>
          <cell r="BL9">
            <v>18384</v>
          </cell>
          <cell r="BM9">
            <v>23493</v>
          </cell>
          <cell r="BN9">
            <v>6135</v>
          </cell>
          <cell r="BO9">
            <v>58220</v>
          </cell>
          <cell r="BP9">
            <v>9997</v>
          </cell>
          <cell r="BQ9">
            <v>12551</v>
          </cell>
          <cell r="BR9">
            <v>50528</v>
          </cell>
          <cell r="BS9">
            <v>10230</v>
          </cell>
          <cell r="BT9">
            <v>32438</v>
          </cell>
          <cell r="BU9">
            <v>3271</v>
          </cell>
          <cell r="BV9">
            <v>33866</v>
          </cell>
          <cell r="BW9">
            <v>9143</v>
          </cell>
          <cell r="BX9">
            <v>228471</v>
          </cell>
          <cell r="BY9">
            <v>4133</v>
          </cell>
          <cell r="BZ9">
            <v>5839</v>
          </cell>
          <cell r="CA9">
            <v>2734</v>
          </cell>
          <cell r="CB9">
            <v>15597</v>
          </cell>
          <cell r="CC9">
            <v>49556</v>
          </cell>
          <cell r="CD9">
            <v>6457</v>
          </cell>
          <cell r="CE9">
            <v>678106</v>
          </cell>
          <cell r="CF9">
            <v>107231</v>
          </cell>
          <cell r="CG9">
            <v>10902</v>
          </cell>
          <cell r="CH9">
            <v>48777</v>
          </cell>
          <cell r="CI9">
            <v>21295</v>
          </cell>
          <cell r="CJ9">
            <v>3454</v>
          </cell>
          <cell r="CK9">
            <v>3811</v>
          </cell>
          <cell r="CL9">
            <v>0</v>
          </cell>
          <cell r="CM9">
            <v>20983</v>
          </cell>
          <cell r="CN9">
            <v>37473</v>
          </cell>
          <cell r="CO9">
            <v>14316</v>
          </cell>
        </row>
        <row r="10">
          <cell r="A10" t="str">
            <v>Customers - Residential</v>
          </cell>
          <cell r="B10" t="str">
            <v>YNR</v>
          </cell>
          <cell r="C10">
            <v>2006</v>
          </cell>
          <cell r="D10">
            <v>1452</v>
          </cell>
          <cell r="E10">
            <v>60659</v>
          </cell>
          <cell r="F10">
            <v>31080</v>
          </cell>
          <cell r="G10">
            <v>7871</v>
          </cell>
          <cell r="H10">
            <v>33085</v>
          </cell>
          <cell r="I10">
            <v>55007</v>
          </cell>
          <cell r="J10">
            <v>12497</v>
          </cell>
          <cell r="K10">
            <v>43373</v>
          </cell>
          <cell r="L10">
            <v>13919</v>
          </cell>
          <cell r="M10">
            <v>5466</v>
          </cell>
          <cell r="N10">
            <v>1136</v>
          </cell>
          <cell r="O10">
            <v>28347</v>
          </cell>
          <cell r="P10">
            <v>1361</v>
          </cell>
          <cell r="Q10">
            <v>1634</v>
          </cell>
          <cell r="R10">
            <v>506</v>
          </cell>
          <cell r="S10">
            <v>9502</v>
          </cell>
          <cell r="T10">
            <v>76407</v>
          </cell>
          <cell r="U10">
            <v>3099</v>
          </cell>
          <cell r="V10">
            <v>161749</v>
          </cell>
          <cell r="W10">
            <v>12206</v>
          </cell>
          <cell r="X10">
            <v>2853</v>
          </cell>
          <cell r="Y10">
            <v>25437</v>
          </cell>
          <cell r="Z10">
            <v>16829</v>
          </cell>
          <cell r="AA10">
            <v>3545</v>
          </cell>
          <cell r="AB10">
            <v>590</v>
          </cell>
          <cell r="AC10">
            <v>10489</v>
          </cell>
          <cell r="AD10">
            <v>41477</v>
          </cell>
          <cell r="AE10">
            <v>38704</v>
          </cell>
          <cell r="AF10">
            <v>2773</v>
          </cell>
          <cell r="AG10">
            <v>8759</v>
          </cell>
          <cell r="AH10">
            <v>53987</v>
          </cell>
          <cell r="AI10">
            <v>18026</v>
          </cell>
          <cell r="AJ10">
            <v>17539</v>
          </cell>
          <cell r="AK10">
            <v>2314</v>
          </cell>
          <cell r="AL10">
            <v>209370</v>
          </cell>
          <cell r="AM10">
            <v>979</v>
          </cell>
          <cell r="AN10">
            <v>4642</v>
          </cell>
          <cell r="AO10">
            <v>111597</v>
          </cell>
          <cell r="AP10">
            <v>1056031</v>
          </cell>
          <cell r="AQ10">
            <v>1055204</v>
          </cell>
          <cell r="AR10">
            <v>827</v>
          </cell>
          <cell r="AS10">
            <v>255993</v>
          </cell>
          <cell r="AT10">
            <v>12949</v>
          </cell>
          <cell r="AU10">
            <v>4968</v>
          </cell>
          <cell r="AV10">
            <v>22706</v>
          </cell>
          <cell r="AW10">
            <v>72866</v>
          </cell>
          <cell r="AX10">
            <v>7781</v>
          </cell>
          <cell r="AY10">
            <v>7403</v>
          </cell>
          <cell r="AZ10">
            <v>126516</v>
          </cell>
          <cell r="BA10">
            <v>6126</v>
          </cell>
          <cell r="BB10">
            <v>5795</v>
          </cell>
          <cell r="BC10">
            <v>18720</v>
          </cell>
          <cell r="BD10">
            <v>163</v>
          </cell>
          <cell r="BE10">
            <v>27405</v>
          </cell>
          <cell r="BF10">
            <v>23647</v>
          </cell>
          <cell r="BG10">
            <v>3758</v>
          </cell>
          <cell r="BH10">
            <v>42749</v>
          </cell>
          <cell r="BI10">
            <v>29193</v>
          </cell>
          <cell r="BJ10">
            <v>13556</v>
          </cell>
          <cell r="BK10">
            <v>6353</v>
          </cell>
          <cell r="BL10">
            <v>16121</v>
          </cell>
          <cell r="BM10">
            <v>20555</v>
          </cell>
          <cell r="BN10">
            <v>5263</v>
          </cell>
          <cell r="BO10">
            <v>52115</v>
          </cell>
          <cell r="BP10">
            <v>8915</v>
          </cell>
          <cell r="BQ10">
            <v>11005</v>
          </cell>
          <cell r="BR10">
            <v>45961</v>
          </cell>
          <cell r="BS10">
            <v>8625</v>
          </cell>
          <cell r="BT10">
            <v>28675</v>
          </cell>
          <cell r="BU10">
            <v>2614</v>
          </cell>
          <cell r="BV10">
            <v>29729</v>
          </cell>
          <cell r="BW10">
            <v>8115</v>
          </cell>
          <cell r="BX10">
            <v>200794</v>
          </cell>
          <cell r="BY10">
            <v>3542</v>
          </cell>
          <cell r="BZ10">
            <v>4962</v>
          </cell>
          <cell r="CA10">
            <v>2293</v>
          </cell>
          <cell r="CB10">
            <v>13821</v>
          </cell>
          <cell r="CC10">
            <v>44524</v>
          </cell>
          <cell r="CD10">
            <v>5733</v>
          </cell>
          <cell r="CE10">
            <v>599080</v>
          </cell>
          <cell r="CF10">
            <v>97026</v>
          </cell>
          <cell r="CG10">
            <v>10067</v>
          </cell>
          <cell r="CH10">
            <v>43013</v>
          </cell>
          <cell r="CI10">
            <v>19411</v>
          </cell>
          <cell r="CJ10">
            <v>2947</v>
          </cell>
          <cell r="CK10">
            <v>3257</v>
          </cell>
          <cell r="CL10">
            <v>0</v>
          </cell>
          <cell r="CM10">
            <v>18313</v>
          </cell>
          <cell r="CN10">
            <v>35017</v>
          </cell>
          <cell r="CO10">
            <v>12924</v>
          </cell>
        </row>
        <row r="11">
          <cell r="A11" t="str">
            <v>Customers - Other</v>
          </cell>
          <cell r="B11" t="str">
            <v>YNO</v>
          </cell>
          <cell r="C11">
            <v>2006</v>
          </cell>
          <cell r="D11">
            <v>268</v>
          </cell>
          <cell r="E11">
            <v>6864</v>
          </cell>
          <cell r="F11">
            <v>4430</v>
          </cell>
          <cell r="G11">
            <v>1413</v>
          </cell>
          <cell r="H11">
            <v>3484</v>
          </cell>
          <cell r="I11">
            <v>5742</v>
          </cell>
          <cell r="J11">
            <v>1803</v>
          </cell>
          <cell r="K11">
            <v>5246</v>
          </cell>
          <cell r="L11">
            <v>1410</v>
          </cell>
          <cell r="M11">
            <v>692</v>
          </cell>
          <cell r="N11">
            <v>180</v>
          </cell>
          <cell r="O11">
            <v>3619</v>
          </cell>
          <cell r="P11">
            <v>255</v>
          </cell>
          <cell r="Q11">
            <v>202</v>
          </cell>
          <cell r="R11">
            <v>94</v>
          </cell>
          <cell r="S11">
            <v>1124</v>
          </cell>
          <cell r="T11">
            <v>8294</v>
          </cell>
          <cell r="U11">
            <v>453</v>
          </cell>
          <cell r="V11">
            <v>20847</v>
          </cell>
          <cell r="W11">
            <v>1601</v>
          </cell>
          <cell r="X11">
            <v>478</v>
          </cell>
          <cell r="Y11">
            <v>2199</v>
          </cell>
          <cell r="Z11">
            <v>2196</v>
          </cell>
          <cell r="AA11">
            <v>436</v>
          </cell>
          <cell r="AB11">
            <v>88</v>
          </cell>
          <cell r="AC11">
            <v>1002</v>
          </cell>
          <cell r="AD11">
            <v>4543</v>
          </cell>
          <cell r="AE11">
            <v>4208</v>
          </cell>
          <cell r="AF11">
            <v>335</v>
          </cell>
          <cell r="AG11">
            <v>749</v>
          </cell>
          <cell r="AH11">
            <v>4954</v>
          </cell>
          <cell r="AI11">
            <v>2551</v>
          </cell>
          <cell r="AJ11">
            <v>1468</v>
          </cell>
          <cell r="AK11">
            <v>443</v>
          </cell>
          <cell r="AL11">
            <v>22129</v>
          </cell>
          <cell r="AM11">
            <v>159</v>
          </cell>
          <cell r="AN11">
            <v>644</v>
          </cell>
          <cell r="AO11">
            <v>8767</v>
          </cell>
          <cell r="AP11">
            <v>108856</v>
          </cell>
          <cell r="AQ11">
            <v>108757</v>
          </cell>
          <cell r="AR11">
            <v>99</v>
          </cell>
          <cell r="AS11">
            <v>26400</v>
          </cell>
          <cell r="AT11">
            <v>883</v>
          </cell>
          <cell r="AU11">
            <v>860</v>
          </cell>
          <cell r="AV11">
            <v>3819</v>
          </cell>
          <cell r="AW11">
            <v>8074</v>
          </cell>
          <cell r="AX11">
            <v>1267</v>
          </cell>
          <cell r="AY11">
            <v>1647</v>
          </cell>
          <cell r="AZ11">
            <v>13491</v>
          </cell>
          <cell r="BA11">
            <v>783</v>
          </cell>
          <cell r="BB11">
            <v>839</v>
          </cell>
          <cell r="BC11">
            <v>2255</v>
          </cell>
          <cell r="BD11">
            <v>29</v>
          </cell>
          <cell r="BE11">
            <v>3279</v>
          </cell>
          <cell r="BF11">
            <v>3000</v>
          </cell>
          <cell r="BG11">
            <v>279</v>
          </cell>
          <cell r="BH11">
            <v>5744</v>
          </cell>
          <cell r="BI11">
            <v>4041</v>
          </cell>
          <cell r="BJ11">
            <v>1703</v>
          </cell>
          <cell r="BK11">
            <v>1350</v>
          </cell>
          <cell r="BL11">
            <v>2263</v>
          </cell>
          <cell r="BM11">
            <v>2938</v>
          </cell>
          <cell r="BN11">
            <v>872</v>
          </cell>
          <cell r="BO11">
            <v>6105</v>
          </cell>
          <cell r="BP11">
            <v>1082</v>
          </cell>
          <cell r="BQ11">
            <v>1546</v>
          </cell>
          <cell r="BR11">
            <v>4567</v>
          </cell>
          <cell r="BS11">
            <v>1605</v>
          </cell>
          <cell r="BT11">
            <v>3763</v>
          </cell>
          <cell r="BU11">
            <v>657</v>
          </cell>
          <cell r="BV11">
            <v>4137</v>
          </cell>
          <cell r="BW11">
            <v>1028</v>
          </cell>
          <cell r="BX11">
            <v>27677</v>
          </cell>
          <cell r="BY11">
            <v>591</v>
          </cell>
          <cell r="BZ11">
            <v>877</v>
          </cell>
          <cell r="CA11">
            <v>441</v>
          </cell>
          <cell r="CB11">
            <v>1776</v>
          </cell>
          <cell r="CC11">
            <v>5032</v>
          </cell>
          <cell r="CD11">
            <v>724</v>
          </cell>
          <cell r="CE11">
            <v>79026</v>
          </cell>
          <cell r="CF11">
            <v>10205</v>
          </cell>
          <cell r="CG11">
            <v>835</v>
          </cell>
          <cell r="CH11">
            <v>5764</v>
          </cell>
          <cell r="CI11">
            <v>1884</v>
          </cell>
          <cell r="CJ11">
            <v>507</v>
          </cell>
          <cell r="CK11">
            <v>554</v>
          </cell>
          <cell r="CL11">
            <v>0</v>
          </cell>
          <cell r="CM11">
            <v>2670</v>
          </cell>
          <cell r="CN11">
            <v>2456</v>
          </cell>
          <cell r="CO11">
            <v>1392</v>
          </cell>
        </row>
        <row r="12">
          <cell r="A12" t="str">
            <v>kWh</v>
          </cell>
          <cell r="B12" t="str">
            <v>YV</v>
          </cell>
          <cell r="C12">
            <v>2006</v>
          </cell>
          <cell r="D12">
            <v>11441922</v>
          </cell>
          <cell r="E12">
            <v>1478570768</v>
          </cell>
          <cell r="F12">
            <v>1113292448</v>
          </cell>
          <cell r="G12">
            <v>224910004</v>
          </cell>
          <cell r="H12">
            <v>972703713</v>
          </cell>
          <cell r="I12">
            <v>1743176663</v>
          </cell>
          <cell r="J12">
            <v>338274830</v>
          </cell>
          <cell r="K12">
            <v>1574603112</v>
          </cell>
          <cell r="L12">
            <v>287341134</v>
          </cell>
          <cell r="M12">
            <v>150448653.38999999</v>
          </cell>
          <cell r="N12">
            <v>28375490</v>
          </cell>
          <cell r="O12">
            <v>862524430</v>
          </cell>
          <cell r="P12">
            <v>18539577</v>
          </cell>
          <cell r="Q12">
            <v>29859625</v>
          </cell>
          <cell r="R12">
            <v>7480749</v>
          </cell>
          <cell r="S12">
            <v>195862325.56999999</v>
          </cell>
          <cell r="T12">
            <v>899872611</v>
          </cell>
          <cell r="U12">
            <v>75398075</v>
          </cell>
          <cell r="V12">
            <v>8133404244</v>
          </cell>
          <cell r="W12">
            <v>152676379</v>
          </cell>
          <cell r="X12">
            <v>63548206</v>
          </cell>
          <cell r="Y12">
            <v>569801532</v>
          </cell>
          <cell r="Z12">
            <v>617899375</v>
          </cell>
          <cell r="AA12">
            <v>82347301</v>
          </cell>
          <cell r="AB12">
            <v>8596601</v>
          </cell>
          <cell r="AC12">
            <v>194594892.19999999</v>
          </cell>
          <cell r="AD12">
            <v>941826285</v>
          </cell>
          <cell r="AE12">
            <v>884496698</v>
          </cell>
          <cell r="AF12">
            <v>57329587</v>
          </cell>
          <cell r="AG12">
            <v>103904686</v>
          </cell>
          <cell r="AH12">
            <v>1631312252</v>
          </cell>
          <cell r="AI12">
            <v>360381638</v>
          </cell>
          <cell r="AJ12">
            <v>475893341.64999998</v>
          </cell>
          <cell r="AK12">
            <v>115147285</v>
          </cell>
          <cell r="AL12">
            <v>5333180389.54</v>
          </cell>
          <cell r="AM12">
            <v>25844397.699999999</v>
          </cell>
          <cell r="AN12">
            <v>199828713</v>
          </cell>
          <cell r="AO12">
            <v>3843080000</v>
          </cell>
          <cell r="AP12">
            <v>22312008992.599998</v>
          </cell>
          <cell r="AQ12">
            <v>22295484000</v>
          </cell>
          <cell r="AR12">
            <v>16524992.6</v>
          </cell>
          <cell r="AS12">
            <v>7450733721</v>
          </cell>
          <cell r="AT12">
            <v>186105147</v>
          </cell>
          <cell r="AU12">
            <v>109125457.08</v>
          </cell>
          <cell r="AV12">
            <v>735332929</v>
          </cell>
          <cell r="AW12">
            <v>1969186093</v>
          </cell>
          <cell r="AX12">
            <v>283279181</v>
          </cell>
          <cell r="AY12">
            <v>124906021</v>
          </cell>
          <cell r="AZ12">
            <v>3356779315</v>
          </cell>
          <cell r="BA12">
            <v>203783359</v>
          </cell>
          <cell r="BB12">
            <v>225495203</v>
          </cell>
          <cell r="BC12">
            <v>640893665</v>
          </cell>
          <cell r="BD12">
            <v>0</v>
          </cell>
          <cell r="BE12">
            <v>356262160</v>
          </cell>
          <cell r="BF12">
            <v>319707807</v>
          </cell>
          <cell r="BG12">
            <v>36554353</v>
          </cell>
          <cell r="BH12">
            <v>1267613270</v>
          </cell>
          <cell r="BI12">
            <v>910529068</v>
          </cell>
          <cell r="BJ12">
            <v>357084202</v>
          </cell>
          <cell r="BK12">
            <v>176186452</v>
          </cell>
          <cell r="BL12">
            <v>381325254</v>
          </cell>
          <cell r="BM12">
            <v>560230800</v>
          </cell>
          <cell r="BN12">
            <v>136197737.00999999</v>
          </cell>
          <cell r="BO12">
            <v>1575176317</v>
          </cell>
          <cell r="BP12">
            <v>242028651</v>
          </cell>
          <cell r="BQ12">
            <v>320376795</v>
          </cell>
          <cell r="BR12">
            <v>1107170264</v>
          </cell>
          <cell r="BS12">
            <v>193210045.66999999</v>
          </cell>
          <cell r="BT12">
            <v>697140805</v>
          </cell>
          <cell r="BU12">
            <v>85636750.729999989</v>
          </cell>
          <cell r="BV12">
            <v>810188267</v>
          </cell>
          <cell r="BW12">
            <v>196628566</v>
          </cell>
          <cell r="BX12">
            <v>6744270641</v>
          </cell>
          <cell r="BY12">
            <v>97310234</v>
          </cell>
          <cell r="BZ12">
            <v>67020068</v>
          </cell>
          <cell r="CA12">
            <v>92077783</v>
          </cell>
          <cell r="CB12">
            <v>367218614</v>
          </cell>
          <cell r="CC12">
            <v>1040012689</v>
          </cell>
          <cell r="CD12">
            <v>229230519.68000001</v>
          </cell>
          <cell r="CE12">
            <v>25527304675</v>
          </cell>
          <cell r="CF12">
            <v>2532414193</v>
          </cell>
          <cell r="CG12">
            <v>105889143.48</v>
          </cell>
          <cell r="CH12">
            <v>1321845279</v>
          </cell>
          <cell r="CI12">
            <v>490692769</v>
          </cell>
          <cell r="CJ12">
            <v>94367252</v>
          </cell>
          <cell r="CK12">
            <v>147392539</v>
          </cell>
          <cell r="CL12">
            <v>0</v>
          </cell>
          <cell r="CM12">
            <v>456146506</v>
          </cell>
          <cell r="CN12">
            <v>857623947</v>
          </cell>
          <cell r="CO12">
            <v>407408088</v>
          </cell>
        </row>
        <row r="13">
          <cell r="A13" t="str">
            <v>kWh - Residential</v>
          </cell>
          <cell r="B13" t="str">
            <v>YVR</v>
          </cell>
          <cell r="C13">
            <v>2006</v>
          </cell>
          <cell r="D13">
            <v>11441922</v>
          </cell>
          <cell r="E13">
            <v>530557254</v>
          </cell>
          <cell r="F13">
            <v>261470152</v>
          </cell>
          <cell r="G13">
            <v>79563205</v>
          </cell>
          <cell r="H13">
            <v>284501278</v>
          </cell>
          <cell r="I13">
            <v>551419663</v>
          </cell>
          <cell r="J13">
            <v>110110859</v>
          </cell>
          <cell r="K13">
            <v>389897758</v>
          </cell>
          <cell r="L13">
            <v>114433846</v>
          </cell>
          <cell r="M13">
            <v>44421203</v>
          </cell>
          <cell r="N13">
            <v>14654854</v>
          </cell>
          <cell r="O13">
            <v>239607514</v>
          </cell>
          <cell r="P13">
            <v>12656005</v>
          </cell>
          <cell r="Q13">
            <v>19799972</v>
          </cell>
          <cell r="R13">
            <v>4091958</v>
          </cell>
          <cell r="S13">
            <v>91182112</v>
          </cell>
          <cell r="T13">
            <v>655143475</v>
          </cell>
          <cell r="U13">
            <v>29259859</v>
          </cell>
          <cell r="V13">
            <v>1603332097</v>
          </cell>
          <cell r="W13">
            <v>116103693</v>
          </cell>
          <cell r="X13">
            <v>32486898</v>
          </cell>
          <cell r="Y13">
            <v>284492550</v>
          </cell>
          <cell r="Z13">
            <v>142060467</v>
          </cell>
          <cell r="AA13">
            <v>38401315</v>
          </cell>
          <cell r="AB13">
            <v>5683369</v>
          </cell>
          <cell r="AC13">
            <v>91383635.700000003</v>
          </cell>
          <cell r="AD13">
            <v>397678409</v>
          </cell>
          <cell r="AE13">
            <v>369998923</v>
          </cell>
          <cell r="AF13">
            <v>27679486</v>
          </cell>
          <cell r="AG13">
            <v>85590583</v>
          </cell>
          <cell r="AH13">
            <v>357495622</v>
          </cell>
          <cell r="AI13">
            <v>172359424</v>
          </cell>
          <cell r="AJ13">
            <v>200925506</v>
          </cell>
          <cell r="AK13">
            <v>26681677</v>
          </cell>
          <cell r="AL13">
            <v>1654664050</v>
          </cell>
          <cell r="AM13">
            <v>15223722.98</v>
          </cell>
          <cell r="AN13">
            <v>54802923</v>
          </cell>
          <cell r="AO13">
            <v>1075118931</v>
          </cell>
          <cell r="AP13">
            <v>12237925130.4</v>
          </cell>
          <cell r="AQ13">
            <v>12228866000</v>
          </cell>
          <cell r="AR13">
            <v>9059130.4000000004</v>
          </cell>
          <cell r="AS13">
            <v>2226415669</v>
          </cell>
          <cell r="AT13">
            <v>157140654</v>
          </cell>
          <cell r="AU13">
            <v>39159512.600000001</v>
          </cell>
          <cell r="AV13">
            <v>200214258</v>
          </cell>
          <cell r="AW13">
            <v>644108007</v>
          </cell>
          <cell r="AX13">
            <v>67942208</v>
          </cell>
          <cell r="AY13">
            <v>78930880</v>
          </cell>
          <cell r="AZ13">
            <v>1088755114</v>
          </cell>
          <cell r="BA13">
            <v>57128547</v>
          </cell>
          <cell r="BB13">
            <v>46734088</v>
          </cell>
          <cell r="BC13">
            <v>197466598</v>
          </cell>
          <cell r="BD13">
            <v>0</v>
          </cell>
          <cell r="BE13">
            <v>262995579</v>
          </cell>
          <cell r="BF13">
            <v>231442383</v>
          </cell>
          <cell r="BG13">
            <v>31553196</v>
          </cell>
          <cell r="BH13">
            <v>449386643</v>
          </cell>
          <cell r="BI13">
            <v>272992006</v>
          </cell>
          <cell r="BJ13">
            <v>176394637</v>
          </cell>
          <cell r="BK13">
            <v>63805148</v>
          </cell>
          <cell r="BL13">
            <v>139960236</v>
          </cell>
          <cell r="BM13">
            <v>207199584</v>
          </cell>
          <cell r="BN13">
            <v>43040213.979999997</v>
          </cell>
          <cell r="BO13">
            <v>569566301</v>
          </cell>
          <cell r="BP13">
            <v>79376454</v>
          </cell>
          <cell r="BQ13">
            <v>108206276</v>
          </cell>
          <cell r="BR13">
            <v>465431095</v>
          </cell>
          <cell r="BS13">
            <v>75536829</v>
          </cell>
          <cell r="BT13">
            <v>335395539</v>
          </cell>
          <cell r="BU13">
            <v>33103725.27</v>
          </cell>
          <cell r="BV13">
            <v>290645501</v>
          </cell>
          <cell r="BW13">
            <v>63748755</v>
          </cell>
          <cell r="BX13">
            <v>2003371840</v>
          </cell>
          <cell r="BY13">
            <v>30640237</v>
          </cell>
          <cell r="BZ13">
            <v>44343815</v>
          </cell>
          <cell r="CA13">
            <v>31452628</v>
          </cell>
          <cell r="CB13">
            <v>113523979</v>
          </cell>
          <cell r="CC13">
            <v>346415246</v>
          </cell>
          <cell r="CD13">
            <v>52306081.219999999</v>
          </cell>
          <cell r="CE13">
            <v>5351746739</v>
          </cell>
          <cell r="CF13">
            <v>929432918</v>
          </cell>
          <cell r="CG13">
            <v>73495682.299999997</v>
          </cell>
          <cell r="CH13">
            <v>391947018</v>
          </cell>
          <cell r="CI13">
            <v>169952289</v>
          </cell>
          <cell r="CJ13">
            <v>25536958</v>
          </cell>
          <cell r="CK13">
            <v>27222139</v>
          </cell>
          <cell r="CL13">
            <v>0</v>
          </cell>
          <cell r="CM13">
            <v>207243931</v>
          </cell>
          <cell r="CN13">
            <v>337897948</v>
          </cell>
          <cell r="CO13">
            <v>104833112</v>
          </cell>
        </row>
        <row r="14">
          <cell r="A14" t="str">
            <v>kWh - Other</v>
          </cell>
          <cell r="B14" t="str">
            <v>YVO</v>
          </cell>
          <cell r="C14">
            <v>2006</v>
          </cell>
          <cell r="D14">
            <v>0</v>
          </cell>
          <cell r="E14">
            <v>948013514</v>
          </cell>
          <cell r="F14">
            <v>851822296</v>
          </cell>
          <cell r="G14">
            <v>145346799</v>
          </cell>
          <cell r="H14">
            <v>688202435</v>
          </cell>
          <cell r="I14">
            <v>1191757000</v>
          </cell>
          <cell r="J14">
            <v>228163971</v>
          </cell>
          <cell r="K14">
            <v>1184705354</v>
          </cell>
          <cell r="L14">
            <v>172907288</v>
          </cell>
          <cell r="M14">
            <v>106027450.38999999</v>
          </cell>
          <cell r="N14">
            <v>13720636</v>
          </cell>
          <cell r="O14">
            <v>622916916</v>
          </cell>
          <cell r="P14">
            <v>5883572</v>
          </cell>
          <cell r="Q14">
            <v>10059653</v>
          </cell>
          <cell r="R14">
            <v>3388791</v>
          </cell>
          <cell r="S14">
            <v>104680213.56999999</v>
          </cell>
          <cell r="T14">
            <v>244729136</v>
          </cell>
          <cell r="U14">
            <v>46138216</v>
          </cell>
          <cell r="V14">
            <v>6530072147</v>
          </cell>
          <cell r="W14">
            <v>36572686</v>
          </cell>
          <cell r="X14">
            <v>31061308</v>
          </cell>
          <cell r="Y14">
            <v>285308982</v>
          </cell>
          <cell r="Z14">
            <v>475838908</v>
          </cell>
          <cell r="AA14">
            <v>43945986</v>
          </cell>
          <cell r="AB14">
            <v>2913232</v>
          </cell>
          <cell r="AC14">
            <v>103211256.49999999</v>
          </cell>
          <cell r="AD14">
            <v>544147876</v>
          </cell>
          <cell r="AE14">
            <v>514497775</v>
          </cell>
          <cell r="AF14">
            <v>29650101</v>
          </cell>
          <cell r="AG14">
            <v>18314103</v>
          </cell>
          <cell r="AH14">
            <v>1273816630</v>
          </cell>
          <cell r="AI14">
            <v>188022214</v>
          </cell>
          <cell r="AJ14">
            <v>274967835.64999998</v>
          </cell>
          <cell r="AK14">
            <v>88465608</v>
          </cell>
          <cell r="AL14">
            <v>3678516339.54</v>
          </cell>
          <cell r="AM14">
            <v>10620674.719999999</v>
          </cell>
          <cell r="AN14">
            <v>145025790</v>
          </cell>
          <cell r="AO14">
            <v>2767961069</v>
          </cell>
          <cell r="AP14">
            <v>10074083862.199999</v>
          </cell>
          <cell r="AQ14">
            <v>10066618000</v>
          </cell>
          <cell r="AR14">
            <v>7465862.1999999993</v>
          </cell>
          <cell r="AS14">
            <v>5224318052</v>
          </cell>
          <cell r="AT14">
            <v>28964493</v>
          </cell>
          <cell r="AU14">
            <v>69965944.479999989</v>
          </cell>
          <cell r="AV14">
            <v>535118671</v>
          </cell>
          <cell r="AW14">
            <v>1325078086</v>
          </cell>
          <cell r="AX14">
            <v>215336973</v>
          </cell>
          <cell r="AY14">
            <v>45975141</v>
          </cell>
          <cell r="AZ14">
            <v>2268024201</v>
          </cell>
          <cell r="BA14">
            <v>146654812</v>
          </cell>
          <cell r="BB14">
            <v>178761115</v>
          </cell>
          <cell r="BC14">
            <v>443427067</v>
          </cell>
          <cell r="BD14">
            <v>0</v>
          </cell>
          <cell r="BE14">
            <v>93266581</v>
          </cell>
          <cell r="BF14">
            <v>88265424</v>
          </cell>
          <cell r="BG14">
            <v>5001157</v>
          </cell>
          <cell r="BH14">
            <v>818226627</v>
          </cell>
          <cell r="BI14">
            <v>637537062</v>
          </cell>
          <cell r="BJ14">
            <v>180689565</v>
          </cell>
          <cell r="BK14">
            <v>112381304</v>
          </cell>
          <cell r="BL14">
            <v>241365018</v>
          </cell>
          <cell r="BM14">
            <v>353031216</v>
          </cell>
          <cell r="BN14">
            <v>93157523.030000001</v>
          </cell>
          <cell r="BO14">
            <v>1005610016</v>
          </cell>
          <cell r="BP14">
            <v>162652197</v>
          </cell>
          <cell r="BQ14">
            <v>212170519</v>
          </cell>
          <cell r="BR14">
            <v>641739169</v>
          </cell>
          <cell r="BS14">
            <v>117673216.66999999</v>
          </cell>
          <cell r="BT14">
            <v>361745266</v>
          </cell>
          <cell r="BU14">
            <v>52533025.459999993</v>
          </cell>
          <cell r="BV14">
            <v>519542766</v>
          </cell>
          <cell r="BW14">
            <v>132879811</v>
          </cell>
          <cell r="BX14">
            <v>4740898801</v>
          </cell>
          <cell r="BY14">
            <v>66669997</v>
          </cell>
          <cell r="BZ14">
            <v>22676253</v>
          </cell>
          <cell r="CA14">
            <v>60625155</v>
          </cell>
          <cell r="CB14">
            <v>253694635</v>
          </cell>
          <cell r="CC14">
            <v>693597443</v>
          </cell>
          <cell r="CD14">
            <v>176924438.46000001</v>
          </cell>
          <cell r="CE14">
            <v>20175557936</v>
          </cell>
          <cell r="CF14">
            <v>1602981275</v>
          </cell>
          <cell r="CG14">
            <v>32393461.180000007</v>
          </cell>
          <cell r="CH14">
            <v>929898261</v>
          </cell>
          <cell r="CI14">
            <v>320740480</v>
          </cell>
          <cell r="CJ14">
            <v>68830294</v>
          </cell>
          <cell r="CK14">
            <v>120170400</v>
          </cell>
          <cell r="CL14">
            <v>0</v>
          </cell>
          <cell r="CM14">
            <v>248902575</v>
          </cell>
          <cell r="CN14">
            <v>519725999</v>
          </cell>
          <cell r="CO14">
            <v>302574976</v>
          </cell>
        </row>
        <row r="15">
          <cell r="A15" t="str">
            <v>kW</v>
          </cell>
          <cell r="B15" t="str">
            <v>YD</v>
          </cell>
          <cell r="C15">
            <v>2006</v>
          </cell>
          <cell r="D15">
            <v>0</v>
          </cell>
          <cell r="E15">
            <v>1950902</v>
          </cell>
          <cell r="F15">
            <v>1514105</v>
          </cell>
          <cell r="G15">
            <v>2111695</v>
          </cell>
          <cell r="H15">
            <v>1498852</v>
          </cell>
          <cell r="I15">
            <v>2542475</v>
          </cell>
          <cell r="J15">
            <v>470048</v>
          </cell>
          <cell r="K15">
            <v>2619988</v>
          </cell>
          <cell r="L15">
            <v>345523</v>
          </cell>
          <cell r="M15">
            <v>205889</v>
          </cell>
          <cell r="N15">
            <v>844</v>
          </cell>
          <cell r="O15">
            <v>1331773</v>
          </cell>
          <cell r="P15">
            <v>28734</v>
          </cell>
          <cell r="Q15">
            <v>14819</v>
          </cell>
          <cell r="R15">
            <v>2497</v>
          </cell>
          <cell r="S15">
            <v>0</v>
          </cell>
          <cell r="T15">
            <v>4773055</v>
          </cell>
          <cell r="U15">
            <v>77672</v>
          </cell>
          <cell r="V15">
            <v>13405127</v>
          </cell>
          <cell r="W15">
            <v>1160669</v>
          </cell>
          <cell r="X15">
            <v>38776</v>
          </cell>
          <cell r="Y15">
            <v>218548</v>
          </cell>
          <cell r="Z15">
            <v>997854</v>
          </cell>
          <cell r="AA15">
            <v>41492</v>
          </cell>
          <cell r="AB15">
            <v>3436</v>
          </cell>
          <cell r="AC15">
            <v>180490</v>
          </cell>
          <cell r="AD15">
            <v>984018</v>
          </cell>
          <cell r="AE15">
            <v>930925</v>
          </cell>
          <cell r="AF15">
            <v>53093</v>
          </cell>
          <cell r="AG15">
            <v>170059</v>
          </cell>
          <cell r="AH15">
            <v>2521744</v>
          </cell>
          <cell r="AI15">
            <v>381479</v>
          </cell>
          <cell r="AJ15">
            <v>665987</v>
          </cell>
          <cell r="AK15">
            <v>175462</v>
          </cell>
          <cell r="AL15">
            <v>9170988</v>
          </cell>
          <cell r="AM15">
            <v>12508</v>
          </cell>
          <cell r="AN15">
            <v>277370</v>
          </cell>
          <cell r="AO15">
            <v>5759975</v>
          </cell>
          <cell r="AP15">
            <v>26903403</v>
          </cell>
          <cell r="AQ15">
            <v>26887539</v>
          </cell>
          <cell r="AR15">
            <v>15864</v>
          </cell>
          <cell r="AS15">
            <v>10460399</v>
          </cell>
          <cell r="AT15">
            <v>129304</v>
          </cell>
          <cell r="AU15">
            <v>153763</v>
          </cell>
          <cell r="AV15">
            <v>1008639</v>
          </cell>
          <cell r="AW15">
            <v>2730876</v>
          </cell>
          <cell r="AX15">
            <v>400501</v>
          </cell>
          <cell r="AY15">
            <v>234233</v>
          </cell>
          <cell r="AZ15">
            <v>4527933</v>
          </cell>
          <cell r="BA15">
            <v>312769</v>
          </cell>
          <cell r="BB15">
            <v>379237</v>
          </cell>
          <cell r="BC15">
            <v>877686</v>
          </cell>
          <cell r="BD15">
            <v>0</v>
          </cell>
          <cell r="BE15">
            <v>892294</v>
          </cell>
          <cell r="BF15">
            <v>878441</v>
          </cell>
          <cell r="BG15">
            <v>13853</v>
          </cell>
          <cell r="BH15">
            <v>1798454</v>
          </cell>
          <cell r="BI15">
            <v>1358130</v>
          </cell>
          <cell r="BJ15">
            <v>440324</v>
          </cell>
          <cell r="BK15">
            <v>205184</v>
          </cell>
          <cell r="BL15">
            <v>381094</v>
          </cell>
          <cell r="BM15">
            <v>719914</v>
          </cell>
          <cell r="BN15">
            <v>176954</v>
          </cell>
          <cell r="BO15">
            <v>2131493</v>
          </cell>
          <cell r="BP15">
            <v>285412</v>
          </cell>
          <cell r="BQ15">
            <v>425476</v>
          </cell>
          <cell r="BR15">
            <v>1231635</v>
          </cell>
          <cell r="BS15">
            <v>214551</v>
          </cell>
          <cell r="BT15">
            <v>681622</v>
          </cell>
          <cell r="BU15">
            <v>0</v>
          </cell>
          <cell r="BV15">
            <v>957649</v>
          </cell>
          <cell r="BW15">
            <v>374709</v>
          </cell>
          <cell r="BX15">
            <v>10219566</v>
          </cell>
          <cell r="BY15">
            <v>156653</v>
          </cell>
          <cell r="BZ15">
            <v>142410</v>
          </cell>
          <cell r="CA15">
            <v>108187</v>
          </cell>
          <cell r="CB15">
            <v>493282</v>
          </cell>
          <cell r="CC15">
            <v>1476385</v>
          </cell>
          <cell r="CD15">
            <v>368998</v>
          </cell>
          <cell r="CE15">
            <v>42897735</v>
          </cell>
          <cell r="CF15">
            <v>3022129</v>
          </cell>
          <cell r="CG15">
            <v>4417</v>
          </cell>
          <cell r="CH15">
            <v>1807052</v>
          </cell>
          <cell r="CI15">
            <v>711957</v>
          </cell>
          <cell r="CJ15">
            <v>155005</v>
          </cell>
          <cell r="CK15">
            <v>246787</v>
          </cell>
          <cell r="CL15">
            <v>0</v>
          </cell>
          <cell r="CM15">
            <v>0</v>
          </cell>
          <cell r="CN15">
            <v>1022351</v>
          </cell>
          <cell r="CO15">
            <v>639744</v>
          </cell>
        </row>
        <row r="16">
          <cell r="A16" t="str">
            <v>kW - Residential</v>
          </cell>
          <cell r="B16" t="str">
            <v>YDR</v>
          </cell>
          <cell r="C16">
            <v>2006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row>
        <row r="17">
          <cell r="A17" t="str">
            <v>kW - Other</v>
          </cell>
          <cell r="B17" t="str">
            <v>YDO</v>
          </cell>
          <cell r="C17">
            <v>2006</v>
          </cell>
          <cell r="D17">
            <v>0</v>
          </cell>
          <cell r="E17">
            <v>1950902</v>
          </cell>
          <cell r="F17">
            <v>1514105</v>
          </cell>
          <cell r="G17">
            <v>2111695</v>
          </cell>
          <cell r="H17">
            <v>1498852</v>
          </cell>
          <cell r="I17">
            <v>2542475</v>
          </cell>
          <cell r="J17">
            <v>470048</v>
          </cell>
          <cell r="K17">
            <v>2619988</v>
          </cell>
          <cell r="L17">
            <v>345523</v>
          </cell>
          <cell r="M17">
            <v>205889</v>
          </cell>
          <cell r="N17">
            <v>844</v>
          </cell>
          <cell r="O17">
            <v>1331773</v>
          </cell>
          <cell r="P17">
            <v>28734</v>
          </cell>
          <cell r="Q17">
            <v>14819</v>
          </cell>
          <cell r="R17">
            <v>2497</v>
          </cell>
          <cell r="S17">
            <v>0</v>
          </cell>
          <cell r="T17">
            <v>4773055</v>
          </cell>
          <cell r="U17">
            <v>77672</v>
          </cell>
          <cell r="V17">
            <v>13405127</v>
          </cell>
          <cell r="W17">
            <v>1160669</v>
          </cell>
          <cell r="X17">
            <v>38776</v>
          </cell>
          <cell r="Y17">
            <v>218548</v>
          </cell>
          <cell r="Z17">
            <v>997854</v>
          </cell>
          <cell r="AA17">
            <v>41492</v>
          </cell>
          <cell r="AB17">
            <v>3436</v>
          </cell>
          <cell r="AC17">
            <v>180490</v>
          </cell>
          <cell r="AD17">
            <v>984018</v>
          </cell>
          <cell r="AE17">
            <v>930925</v>
          </cell>
          <cell r="AF17">
            <v>53093</v>
          </cell>
          <cell r="AG17">
            <v>170059</v>
          </cell>
          <cell r="AH17">
            <v>2521744</v>
          </cell>
          <cell r="AI17">
            <v>381479</v>
          </cell>
          <cell r="AJ17">
            <v>665987</v>
          </cell>
          <cell r="AK17">
            <v>175462</v>
          </cell>
          <cell r="AL17">
            <v>9170988</v>
          </cell>
          <cell r="AM17">
            <v>12508</v>
          </cell>
          <cell r="AN17">
            <v>277370</v>
          </cell>
          <cell r="AO17">
            <v>5759975</v>
          </cell>
          <cell r="AP17">
            <v>26903403</v>
          </cell>
          <cell r="AQ17">
            <v>26887539</v>
          </cell>
          <cell r="AR17">
            <v>15864</v>
          </cell>
          <cell r="AS17">
            <v>10460399</v>
          </cell>
          <cell r="AT17">
            <v>129304</v>
          </cell>
          <cell r="AU17">
            <v>153763</v>
          </cell>
          <cell r="AV17">
            <v>1008639</v>
          </cell>
          <cell r="AW17">
            <v>2730876</v>
          </cell>
          <cell r="AX17">
            <v>400501</v>
          </cell>
          <cell r="AY17">
            <v>234233</v>
          </cell>
          <cell r="AZ17">
            <v>4527933</v>
          </cell>
          <cell r="BA17">
            <v>312769</v>
          </cell>
          <cell r="BB17">
            <v>379237</v>
          </cell>
          <cell r="BC17">
            <v>877686</v>
          </cell>
          <cell r="BD17">
            <v>0</v>
          </cell>
          <cell r="BE17">
            <v>892294</v>
          </cell>
          <cell r="BF17">
            <v>878441</v>
          </cell>
          <cell r="BG17">
            <v>13853</v>
          </cell>
          <cell r="BH17">
            <v>1798454</v>
          </cell>
          <cell r="BI17">
            <v>1358130</v>
          </cell>
          <cell r="BJ17">
            <v>440324</v>
          </cell>
          <cell r="BK17">
            <v>205184</v>
          </cell>
          <cell r="BL17">
            <v>381094</v>
          </cell>
          <cell r="BM17">
            <v>719914</v>
          </cell>
          <cell r="BN17">
            <v>176954</v>
          </cell>
          <cell r="BO17">
            <v>2131493</v>
          </cell>
          <cell r="BP17">
            <v>285412</v>
          </cell>
          <cell r="BQ17">
            <v>425476</v>
          </cell>
          <cell r="BR17">
            <v>1231635</v>
          </cell>
          <cell r="BS17">
            <v>214551</v>
          </cell>
          <cell r="BT17">
            <v>681622</v>
          </cell>
          <cell r="BU17">
            <v>0</v>
          </cell>
          <cell r="BV17">
            <v>957649</v>
          </cell>
          <cell r="BW17">
            <v>374709</v>
          </cell>
          <cell r="BX17">
            <v>10219566</v>
          </cell>
          <cell r="BY17">
            <v>156653</v>
          </cell>
          <cell r="BZ17">
            <v>142410</v>
          </cell>
          <cell r="CA17">
            <v>108187</v>
          </cell>
          <cell r="CB17">
            <v>493282</v>
          </cell>
          <cell r="CC17">
            <v>1476385</v>
          </cell>
          <cell r="CD17">
            <v>368998</v>
          </cell>
          <cell r="CE17">
            <v>42897735</v>
          </cell>
          <cell r="CF17">
            <v>3022129</v>
          </cell>
          <cell r="CG17">
            <v>4417</v>
          </cell>
          <cell r="CH17">
            <v>1807052</v>
          </cell>
          <cell r="CI17">
            <v>711957</v>
          </cell>
          <cell r="CJ17">
            <v>155005</v>
          </cell>
          <cell r="CK17">
            <v>246787</v>
          </cell>
          <cell r="CL17">
            <v>0</v>
          </cell>
          <cell r="CM17">
            <v>0</v>
          </cell>
          <cell r="CN17">
            <v>1022351</v>
          </cell>
          <cell r="CO17">
            <v>639744</v>
          </cell>
        </row>
        <row r="18">
          <cell r="A18" t="str">
            <v>Total service area</v>
          </cell>
          <cell r="B18" t="str">
            <v>AREA</v>
          </cell>
          <cell r="C18">
            <v>2006</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2</v>
          </cell>
          <cell r="S18">
            <v>22</v>
          </cell>
          <cell r="T18">
            <v>120</v>
          </cell>
          <cell r="U18">
            <v>66</v>
          </cell>
          <cell r="V18">
            <v>287</v>
          </cell>
          <cell r="W18">
            <v>46</v>
          </cell>
          <cell r="X18">
            <v>99</v>
          </cell>
          <cell r="Y18">
            <v>104</v>
          </cell>
          <cell r="Z18">
            <v>44</v>
          </cell>
          <cell r="AA18">
            <v>26</v>
          </cell>
          <cell r="AB18">
            <v>1</v>
          </cell>
          <cell r="AC18">
            <v>14200</v>
          </cell>
          <cell r="AD18">
            <v>9</v>
          </cell>
          <cell r="AE18">
            <v>0</v>
          </cell>
          <cell r="AF18">
            <v>9</v>
          </cell>
          <cell r="AG18">
            <v>67</v>
          </cell>
          <cell r="AH18">
            <v>93</v>
          </cell>
          <cell r="AI18">
            <v>1252</v>
          </cell>
          <cell r="AJ18">
            <v>281</v>
          </cell>
          <cell r="AK18">
            <v>93</v>
          </cell>
          <cell r="AL18">
            <v>426</v>
          </cell>
          <cell r="AM18">
            <v>9</v>
          </cell>
          <cell r="AN18">
            <v>8</v>
          </cell>
          <cell r="AO18">
            <v>269</v>
          </cell>
          <cell r="AP18">
            <v>650006</v>
          </cell>
          <cell r="AQ18">
            <v>650000</v>
          </cell>
          <cell r="AR18">
            <v>6</v>
          </cell>
          <cell r="AS18">
            <v>1104</v>
          </cell>
          <cell r="AT18">
            <v>292</v>
          </cell>
          <cell r="AU18">
            <v>24</v>
          </cell>
          <cell r="AV18">
            <v>32</v>
          </cell>
          <cell r="AW18">
            <v>404</v>
          </cell>
          <cell r="AX18">
            <v>27</v>
          </cell>
          <cell r="AY18">
            <v>144</v>
          </cell>
          <cell r="AZ18">
            <v>421</v>
          </cell>
          <cell r="BA18">
            <v>21</v>
          </cell>
          <cell r="BB18">
            <v>20</v>
          </cell>
          <cell r="BC18">
            <v>370</v>
          </cell>
          <cell r="BD18">
            <v>4</v>
          </cell>
          <cell r="BE18">
            <v>88</v>
          </cell>
          <cell r="BF18">
            <v>41</v>
          </cell>
          <cell r="BG18">
            <v>47</v>
          </cell>
          <cell r="BH18">
            <v>779</v>
          </cell>
          <cell r="BI18">
            <v>212</v>
          </cell>
          <cell r="BJ18">
            <v>567</v>
          </cell>
          <cell r="BK18">
            <v>125</v>
          </cell>
          <cell r="BL18">
            <v>693</v>
          </cell>
          <cell r="BM18">
            <v>330</v>
          </cell>
          <cell r="BN18">
            <v>28</v>
          </cell>
          <cell r="BO18">
            <v>143</v>
          </cell>
          <cell r="BP18">
            <v>16</v>
          </cell>
          <cell r="BQ18">
            <v>27</v>
          </cell>
          <cell r="BR18">
            <v>149</v>
          </cell>
          <cell r="BS18">
            <v>35</v>
          </cell>
          <cell r="BT18">
            <v>342</v>
          </cell>
          <cell r="BU18">
            <v>15</v>
          </cell>
          <cell r="BV18">
            <v>64</v>
          </cell>
          <cell r="BW18">
            <v>122</v>
          </cell>
          <cell r="BX18">
            <v>635</v>
          </cell>
          <cell r="BY18">
            <v>13</v>
          </cell>
          <cell r="BZ18">
            <v>18</v>
          </cell>
          <cell r="CA18">
            <v>536</v>
          </cell>
          <cell r="CB18">
            <v>33</v>
          </cell>
          <cell r="CC18">
            <v>381</v>
          </cell>
          <cell r="CD18">
            <v>9</v>
          </cell>
          <cell r="CE18">
            <v>630</v>
          </cell>
          <cell r="CF18">
            <v>639</v>
          </cell>
          <cell r="CG18">
            <v>61</v>
          </cell>
          <cell r="CH18">
            <v>672</v>
          </cell>
          <cell r="CI18">
            <v>81</v>
          </cell>
          <cell r="CJ18">
            <v>14</v>
          </cell>
          <cell r="CK18">
            <v>8</v>
          </cell>
          <cell r="CL18">
            <v>0</v>
          </cell>
          <cell r="CM18">
            <v>49</v>
          </cell>
          <cell r="CN18">
            <v>147</v>
          </cell>
          <cell r="CO18">
            <v>31</v>
          </cell>
        </row>
        <row r="19">
          <cell r="A19" t="str">
            <v>Urban service area</v>
          </cell>
          <cell r="B19" t="str">
            <v>AREAURB</v>
          </cell>
          <cell r="C19">
            <v>2006</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2</v>
          </cell>
          <cell r="S19">
            <v>22</v>
          </cell>
          <cell r="T19">
            <v>120</v>
          </cell>
          <cell r="U19">
            <v>18</v>
          </cell>
          <cell r="V19">
            <v>287</v>
          </cell>
          <cell r="W19">
            <v>46</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6</v>
          </cell>
          <cell r="AQ19">
            <v>0</v>
          </cell>
          <cell r="AR19">
            <v>6</v>
          </cell>
          <cell r="AS19">
            <v>454</v>
          </cell>
          <cell r="AT19">
            <v>60</v>
          </cell>
          <cell r="AU19">
            <v>24</v>
          </cell>
          <cell r="AV19">
            <v>32</v>
          </cell>
          <cell r="AW19">
            <v>124</v>
          </cell>
          <cell r="AX19">
            <v>27</v>
          </cell>
          <cell r="AY19">
            <v>16</v>
          </cell>
          <cell r="AZ19">
            <v>163</v>
          </cell>
          <cell r="BA19">
            <v>5</v>
          </cell>
          <cell r="BB19">
            <v>20</v>
          </cell>
          <cell r="BC19">
            <v>57</v>
          </cell>
          <cell r="BD19">
            <v>0</v>
          </cell>
          <cell r="BE19">
            <v>66</v>
          </cell>
          <cell r="BF19">
            <v>41</v>
          </cell>
          <cell r="BG19">
            <v>25</v>
          </cell>
          <cell r="BH19">
            <v>121</v>
          </cell>
          <cell r="BI19">
            <v>65</v>
          </cell>
          <cell r="BJ19">
            <v>56</v>
          </cell>
          <cell r="BK19">
            <v>14</v>
          </cell>
          <cell r="BL19">
            <v>144</v>
          </cell>
          <cell r="BM19">
            <v>51</v>
          </cell>
          <cell r="BN19">
            <v>28</v>
          </cell>
          <cell r="BO19">
            <v>102</v>
          </cell>
          <cell r="BP19">
            <v>16</v>
          </cell>
          <cell r="BQ19">
            <v>27</v>
          </cell>
          <cell r="BR19">
            <v>71</v>
          </cell>
          <cell r="BS19">
            <v>35</v>
          </cell>
          <cell r="BT19">
            <v>58</v>
          </cell>
          <cell r="BU19">
            <v>15</v>
          </cell>
          <cell r="BV19">
            <v>64</v>
          </cell>
          <cell r="BW19">
            <v>20</v>
          </cell>
          <cell r="BX19">
            <v>415</v>
          </cell>
          <cell r="BY19">
            <v>13</v>
          </cell>
          <cell r="BZ19">
            <v>11</v>
          </cell>
          <cell r="CA19">
            <v>6</v>
          </cell>
          <cell r="CB19">
            <v>33</v>
          </cell>
          <cell r="CC19">
            <v>122</v>
          </cell>
          <cell r="CD19">
            <v>8</v>
          </cell>
          <cell r="CE19">
            <v>630</v>
          </cell>
          <cell r="CF19">
            <v>253</v>
          </cell>
          <cell r="CG19">
            <v>53</v>
          </cell>
          <cell r="CH19">
            <v>65</v>
          </cell>
          <cell r="CI19">
            <v>81</v>
          </cell>
          <cell r="CJ19">
            <v>14</v>
          </cell>
          <cell r="CK19">
            <v>8</v>
          </cell>
          <cell r="CL19">
            <v>0</v>
          </cell>
          <cell r="CM19">
            <v>49</v>
          </cell>
          <cell r="CN19">
            <v>71</v>
          </cell>
          <cell r="CO19">
            <v>31</v>
          </cell>
        </row>
        <row r="20">
          <cell r="A20" t="str">
            <v>Rural service area</v>
          </cell>
          <cell r="B20" t="str">
            <v>AREARUR</v>
          </cell>
          <cell r="C20">
            <v>2006</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0</v>
          </cell>
          <cell r="AE20">
            <v>0</v>
          </cell>
          <cell r="AF20">
            <v>0</v>
          </cell>
          <cell r="AG20">
            <v>45</v>
          </cell>
          <cell r="AH20">
            <v>0</v>
          </cell>
          <cell r="AI20">
            <v>1216</v>
          </cell>
          <cell r="AJ20">
            <v>256</v>
          </cell>
          <cell r="AK20">
            <v>0</v>
          </cell>
          <cell r="AL20">
            <v>88</v>
          </cell>
          <cell r="AM20">
            <v>0</v>
          </cell>
          <cell r="AN20">
            <v>0</v>
          </cell>
          <cell r="AO20">
            <v>0</v>
          </cell>
          <cell r="AP20">
            <v>650000</v>
          </cell>
          <cell r="AQ20">
            <v>650000</v>
          </cell>
          <cell r="AR20">
            <v>0</v>
          </cell>
          <cell r="AS20">
            <v>650</v>
          </cell>
          <cell r="AT20">
            <v>232</v>
          </cell>
          <cell r="AU20">
            <v>0</v>
          </cell>
          <cell r="AV20">
            <v>0</v>
          </cell>
          <cell r="AW20">
            <v>280</v>
          </cell>
          <cell r="AX20">
            <v>0</v>
          </cell>
          <cell r="AY20">
            <v>128</v>
          </cell>
          <cell r="AZ20">
            <v>258</v>
          </cell>
          <cell r="BA20">
            <v>16</v>
          </cell>
          <cell r="BB20">
            <v>0</v>
          </cell>
          <cell r="BC20">
            <v>313</v>
          </cell>
          <cell r="BD20">
            <v>4</v>
          </cell>
          <cell r="BE20">
            <v>22</v>
          </cell>
          <cell r="BF20">
            <v>0</v>
          </cell>
          <cell r="BG20">
            <v>22</v>
          </cell>
          <cell r="BH20">
            <v>658</v>
          </cell>
          <cell r="BI20">
            <v>147</v>
          </cell>
          <cell r="BJ20">
            <v>511</v>
          </cell>
          <cell r="BK20">
            <v>111</v>
          </cell>
          <cell r="BL20">
            <v>549</v>
          </cell>
          <cell r="BM20">
            <v>279</v>
          </cell>
          <cell r="BN20">
            <v>0</v>
          </cell>
          <cell r="BO20">
            <v>41</v>
          </cell>
          <cell r="BP20">
            <v>0</v>
          </cell>
          <cell r="BQ20">
            <v>0</v>
          </cell>
          <cell r="BR20">
            <v>78</v>
          </cell>
          <cell r="BS20">
            <v>0</v>
          </cell>
          <cell r="BT20">
            <v>284</v>
          </cell>
          <cell r="BU20">
            <v>0</v>
          </cell>
          <cell r="BV20">
            <v>0</v>
          </cell>
          <cell r="BW20">
            <v>102</v>
          </cell>
          <cell r="BX20">
            <v>220</v>
          </cell>
          <cell r="BY20">
            <v>0</v>
          </cell>
          <cell r="BZ20">
            <v>7</v>
          </cell>
          <cell r="CA20">
            <v>530</v>
          </cell>
          <cell r="CB20">
            <v>0</v>
          </cell>
          <cell r="CC20">
            <v>259</v>
          </cell>
          <cell r="CD20">
            <v>1</v>
          </cell>
          <cell r="CE20">
            <v>0</v>
          </cell>
          <cell r="CF20">
            <v>386</v>
          </cell>
          <cell r="CG20">
            <v>8</v>
          </cell>
          <cell r="CH20">
            <v>607</v>
          </cell>
          <cell r="CI20">
            <v>0</v>
          </cell>
          <cell r="CJ20">
            <v>0</v>
          </cell>
          <cell r="CK20">
            <v>0</v>
          </cell>
          <cell r="CL20">
            <v>0</v>
          </cell>
          <cell r="CM20">
            <v>0</v>
          </cell>
          <cell r="CN20">
            <v>76</v>
          </cell>
          <cell r="CO20">
            <v>0</v>
          </cell>
        </row>
        <row r="21">
          <cell r="A21" t="str">
            <v>Service area population</v>
          </cell>
          <cell r="B21" t="str">
            <v>POP</v>
          </cell>
          <cell r="C21">
            <v>2006</v>
          </cell>
          <cell r="D21">
            <v>3000</v>
          </cell>
          <cell r="E21">
            <v>178875</v>
          </cell>
          <cell r="F21">
            <v>83178</v>
          </cell>
          <cell r="G21">
            <v>25000</v>
          </cell>
          <cell r="H21">
            <v>92690</v>
          </cell>
          <cell r="I21">
            <v>163800</v>
          </cell>
          <cell r="J21">
            <v>23000</v>
          </cell>
          <cell r="K21">
            <v>131270</v>
          </cell>
          <cell r="L21">
            <v>27698</v>
          </cell>
          <cell r="M21">
            <v>17800</v>
          </cell>
          <cell r="N21">
            <v>2428</v>
          </cell>
          <cell r="O21">
            <v>94769</v>
          </cell>
          <cell r="P21">
            <v>3100</v>
          </cell>
          <cell r="Q21">
            <v>4000</v>
          </cell>
          <cell r="R21">
            <v>1475</v>
          </cell>
          <cell r="S21">
            <v>21873</v>
          </cell>
          <cell r="T21">
            <v>231978</v>
          </cell>
          <cell r="U21">
            <v>6700</v>
          </cell>
          <cell r="V21">
            <v>700000</v>
          </cell>
          <cell r="W21">
            <v>32542</v>
          </cell>
          <cell r="X21">
            <v>7138</v>
          </cell>
          <cell r="Y21">
            <v>70130</v>
          </cell>
          <cell r="Z21">
            <v>43208</v>
          </cell>
          <cell r="AA21">
            <v>8315</v>
          </cell>
          <cell r="AB21">
            <v>1600</v>
          </cell>
          <cell r="AC21">
            <v>17195</v>
          </cell>
          <cell r="AD21">
            <v>109529</v>
          </cell>
          <cell r="AE21">
            <v>102811</v>
          </cell>
          <cell r="AF21">
            <v>6718</v>
          </cell>
          <cell r="AG21">
            <v>21500</v>
          </cell>
          <cell r="AH21">
            <v>130509</v>
          </cell>
          <cell r="AI21">
            <v>43728</v>
          </cell>
          <cell r="AJ21">
            <v>55300</v>
          </cell>
          <cell r="AK21">
            <v>5635</v>
          </cell>
          <cell r="AL21">
            <v>561500</v>
          </cell>
          <cell r="AM21">
            <v>2480</v>
          </cell>
          <cell r="AN21">
            <v>10500</v>
          </cell>
          <cell r="AO21">
            <v>433806</v>
          </cell>
          <cell r="AP21">
            <v>2900641</v>
          </cell>
          <cell r="AQ21">
            <v>2898691</v>
          </cell>
          <cell r="AR21">
            <v>1950</v>
          </cell>
          <cell r="AS21">
            <v>789570</v>
          </cell>
          <cell r="AT21">
            <v>31480</v>
          </cell>
          <cell r="AU21">
            <v>12000</v>
          </cell>
          <cell r="AV21">
            <v>57800</v>
          </cell>
          <cell r="AW21">
            <v>229290</v>
          </cell>
          <cell r="AX21">
            <v>22000</v>
          </cell>
          <cell r="AY21">
            <v>21007</v>
          </cell>
          <cell r="AZ21">
            <v>352395</v>
          </cell>
          <cell r="BA21">
            <v>6763</v>
          </cell>
          <cell r="BB21">
            <v>16000</v>
          </cell>
          <cell r="BC21">
            <v>62000</v>
          </cell>
          <cell r="BD21">
            <v>0</v>
          </cell>
          <cell r="BE21">
            <v>83860</v>
          </cell>
          <cell r="BF21">
            <v>79300</v>
          </cell>
          <cell r="BG21">
            <v>4560</v>
          </cell>
          <cell r="BH21">
            <v>118993</v>
          </cell>
          <cell r="BI21">
            <v>82184</v>
          </cell>
          <cell r="BJ21">
            <v>36809</v>
          </cell>
          <cell r="BK21">
            <v>14000</v>
          </cell>
          <cell r="BL21">
            <v>31300</v>
          </cell>
          <cell r="BM21">
            <v>55000</v>
          </cell>
          <cell r="BN21">
            <v>14000</v>
          </cell>
          <cell r="BO21">
            <v>161500</v>
          </cell>
          <cell r="BP21">
            <v>27981</v>
          </cell>
          <cell r="BQ21">
            <v>30300</v>
          </cell>
          <cell r="BR21">
            <v>155000</v>
          </cell>
          <cell r="BS21">
            <v>20200</v>
          </cell>
          <cell r="BT21">
            <v>77948</v>
          </cell>
          <cell r="BU21">
            <v>6500</v>
          </cell>
          <cell r="BV21">
            <v>78748</v>
          </cell>
          <cell r="BW21">
            <v>18003</v>
          </cell>
          <cell r="BX21">
            <v>710772</v>
          </cell>
          <cell r="BY21">
            <v>8100</v>
          </cell>
          <cell r="BZ21">
            <v>9900</v>
          </cell>
          <cell r="CA21">
            <v>5336</v>
          </cell>
          <cell r="CB21">
            <v>33000</v>
          </cell>
          <cell r="CC21">
            <v>110049</v>
          </cell>
          <cell r="CD21">
            <v>15140</v>
          </cell>
          <cell r="CE21">
            <v>2503281</v>
          </cell>
          <cell r="CF21">
            <v>309276</v>
          </cell>
          <cell r="CG21">
            <v>16800</v>
          </cell>
          <cell r="CH21">
            <v>145040</v>
          </cell>
          <cell r="CI21">
            <v>50331</v>
          </cell>
          <cell r="CJ21">
            <v>6400</v>
          </cell>
          <cell r="CK21">
            <v>7563</v>
          </cell>
          <cell r="CL21">
            <v>3900</v>
          </cell>
          <cell r="CM21">
            <v>40020</v>
          </cell>
          <cell r="CN21">
            <v>110000</v>
          </cell>
          <cell r="CO21">
            <v>35000</v>
          </cell>
        </row>
        <row r="22">
          <cell r="A22" t="str">
            <v>Municipal population</v>
          </cell>
          <cell r="B22" t="str">
            <v>POPCITY</v>
          </cell>
          <cell r="C22">
            <v>2006</v>
          </cell>
          <cell r="D22">
            <v>3000</v>
          </cell>
          <cell r="E22">
            <v>194429</v>
          </cell>
          <cell r="F22">
            <v>85488</v>
          </cell>
          <cell r="G22">
            <v>30000</v>
          </cell>
          <cell r="H22">
            <v>92690</v>
          </cell>
          <cell r="I22">
            <v>163800</v>
          </cell>
          <cell r="J22">
            <v>23000</v>
          </cell>
          <cell r="K22">
            <v>131270</v>
          </cell>
          <cell r="L22">
            <v>27698</v>
          </cell>
          <cell r="M22">
            <v>26000</v>
          </cell>
          <cell r="N22">
            <v>2428</v>
          </cell>
          <cell r="O22">
            <v>107341</v>
          </cell>
          <cell r="P22">
            <v>3100</v>
          </cell>
          <cell r="Q22">
            <v>12500</v>
          </cell>
          <cell r="R22">
            <v>4500</v>
          </cell>
          <cell r="S22">
            <v>74185</v>
          </cell>
          <cell r="T22">
            <v>231978</v>
          </cell>
          <cell r="U22">
            <v>5000</v>
          </cell>
          <cell r="V22">
            <v>700000</v>
          </cell>
          <cell r="W22">
            <v>62569</v>
          </cell>
          <cell r="X22">
            <v>8700</v>
          </cell>
          <cell r="Y22">
            <v>103297</v>
          </cell>
          <cell r="Z22">
            <v>43208</v>
          </cell>
          <cell r="AA22">
            <v>8315</v>
          </cell>
          <cell r="AB22">
            <v>2529</v>
          </cell>
          <cell r="AC22">
            <v>10104</v>
          </cell>
          <cell r="AD22">
            <v>170219</v>
          </cell>
          <cell r="AE22">
            <v>155219</v>
          </cell>
          <cell r="AF22">
            <v>15000</v>
          </cell>
          <cell r="AG22">
            <v>21500</v>
          </cell>
          <cell r="AH22">
            <v>130509</v>
          </cell>
          <cell r="AI22">
            <v>43728</v>
          </cell>
          <cell r="AJ22">
            <v>55300</v>
          </cell>
          <cell r="AK22">
            <v>5635</v>
          </cell>
          <cell r="AL22">
            <v>636500</v>
          </cell>
          <cell r="AM22">
            <v>9400</v>
          </cell>
          <cell r="AN22">
            <v>10500</v>
          </cell>
          <cell r="AO22">
            <v>433806</v>
          </cell>
          <cell r="AP22">
            <v>2900641</v>
          </cell>
          <cell r="AQ22">
            <v>2898691</v>
          </cell>
          <cell r="AR22">
            <v>1950</v>
          </cell>
          <cell r="AS22">
            <v>877300</v>
          </cell>
          <cell r="AT22">
            <v>31480</v>
          </cell>
          <cell r="AU22">
            <v>16500</v>
          </cell>
          <cell r="AV22">
            <v>119000</v>
          </cell>
          <cell r="AW22">
            <v>225790</v>
          </cell>
          <cell r="AX22">
            <v>22000</v>
          </cell>
          <cell r="AY22">
            <v>34035</v>
          </cell>
          <cell r="AZ22">
            <v>352395</v>
          </cell>
          <cell r="BA22">
            <v>18231</v>
          </cell>
          <cell r="BB22">
            <v>17000</v>
          </cell>
          <cell r="BC22">
            <v>62000</v>
          </cell>
          <cell r="BD22">
            <v>422</v>
          </cell>
          <cell r="BE22">
            <v>111140</v>
          </cell>
          <cell r="BF22">
            <v>101908</v>
          </cell>
          <cell r="BG22">
            <v>9232</v>
          </cell>
          <cell r="BH22">
            <v>130336</v>
          </cell>
          <cell r="BI22">
            <v>82184</v>
          </cell>
          <cell r="BJ22">
            <v>48152</v>
          </cell>
          <cell r="BK22">
            <v>14000</v>
          </cell>
          <cell r="BL22">
            <v>62000</v>
          </cell>
          <cell r="BM22">
            <v>55000</v>
          </cell>
          <cell r="BN22">
            <v>18777</v>
          </cell>
          <cell r="BO22">
            <v>161500</v>
          </cell>
          <cell r="BP22">
            <v>27981</v>
          </cell>
          <cell r="BQ22">
            <v>30300</v>
          </cell>
          <cell r="BR22">
            <v>155000</v>
          </cell>
          <cell r="BS22">
            <v>20200</v>
          </cell>
          <cell r="BT22">
            <v>74948</v>
          </cell>
          <cell r="BU22">
            <v>6500</v>
          </cell>
          <cell r="BV22">
            <v>78748</v>
          </cell>
          <cell r="BW22">
            <v>18003</v>
          </cell>
          <cell r="BX22">
            <v>710772</v>
          </cell>
          <cell r="BY22">
            <v>8100</v>
          </cell>
          <cell r="BZ22">
            <v>16700</v>
          </cell>
          <cell r="CA22">
            <v>5336</v>
          </cell>
          <cell r="CB22">
            <v>33000</v>
          </cell>
          <cell r="CC22">
            <v>109140</v>
          </cell>
          <cell r="CD22">
            <v>15000</v>
          </cell>
          <cell r="CE22">
            <v>2503281</v>
          </cell>
          <cell r="CF22">
            <v>370116</v>
          </cell>
          <cell r="CG22">
            <v>16800</v>
          </cell>
          <cell r="CH22">
            <v>145040</v>
          </cell>
          <cell r="CI22">
            <v>50331</v>
          </cell>
          <cell r="CJ22">
            <v>11000</v>
          </cell>
          <cell r="CK22">
            <v>7563</v>
          </cell>
          <cell r="CL22">
            <v>9000</v>
          </cell>
          <cell r="CM22">
            <v>78240</v>
          </cell>
          <cell r="CN22">
            <v>110000</v>
          </cell>
          <cell r="CO22">
            <v>36000</v>
          </cell>
        </row>
        <row r="23">
          <cell r="A23" t="str">
            <v>No seasonal occupacy customers</v>
          </cell>
          <cell r="B23" t="str">
            <v>YNSUM</v>
          </cell>
          <cell r="C23">
            <v>2006</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154758</v>
          </cell>
          <cell r="AQ23">
            <v>154758</v>
          </cell>
          <cell r="AR23">
            <v>0</v>
          </cell>
          <cell r="AS23">
            <v>0</v>
          </cell>
          <cell r="AT23">
            <v>628</v>
          </cell>
          <cell r="AU23">
            <v>0</v>
          </cell>
          <cell r="AV23">
            <v>0</v>
          </cell>
          <cell r="AW23">
            <v>0</v>
          </cell>
          <cell r="AX23">
            <v>0</v>
          </cell>
          <cell r="AY23">
            <v>150</v>
          </cell>
          <cell r="AZ23">
            <v>0</v>
          </cell>
          <cell r="BA23">
            <v>0</v>
          </cell>
          <cell r="BB23">
            <v>0</v>
          </cell>
          <cell r="BC23">
            <v>0</v>
          </cell>
          <cell r="BD23">
            <v>0</v>
          </cell>
          <cell r="BE23">
            <v>525</v>
          </cell>
          <cell r="BF23">
            <v>0</v>
          </cell>
          <cell r="BG23">
            <v>525</v>
          </cell>
          <cell r="BH23">
            <v>0</v>
          </cell>
          <cell r="BI23">
            <v>0</v>
          </cell>
          <cell r="BJ23">
            <v>0</v>
          </cell>
          <cell r="BK23">
            <v>220</v>
          </cell>
          <cell r="BL23">
            <v>200</v>
          </cell>
          <cell r="BM23">
            <v>0</v>
          </cell>
          <cell r="BN23">
            <v>0</v>
          </cell>
          <cell r="BO23">
            <v>0</v>
          </cell>
          <cell r="BP23">
            <v>0</v>
          </cell>
          <cell r="BQ23">
            <v>0</v>
          </cell>
          <cell r="BR23">
            <v>0</v>
          </cell>
          <cell r="BS23">
            <v>0</v>
          </cell>
          <cell r="BT23">
            <v>100</v>
          </cell>
          <cell r="BU23">
            <v>0</v>
          </cell>
          <cell r="BV23">
            <v>0</v>
          </cell>
          <cell r="BW23">
            <v>0</v>
          </cell>
          <cell r="BX23">
            <v>0</v>
          </cell>
          <cell r="BY23">
            <v>0</v>
          </cell>
          <cell r="BZ23">
            <v>0</v>
          </cell>
          <cell r="CA23">
            <v>112</v>
          </cell>
          <cell r="CB23">
            <v>0</v>
          </cell>
          <cell r="CC23">
            <v>0</v>
          </cell>
          <cell r="CD23">
            <v>0</v>
          </cell>
          <cell r="CE23">
            <v>0</v>
          </cell>
          <cell r="CF23">
            <v>1611</v>
          </cell>
          <cell r="CG23">
            <v>1200</v>
          </cell>
          <cell r="CH23">
            <v>0</v>
          </cell>
          <cell r="CI23">
            <v>0</v>
          </cell>
          <cell r="CJ23">
            <v>0</v>
          </cell>
          <cell r="CK23">
            <v>0</v>
          </cell>
          <cell r="CL23">
            <v>0</v>
          </cell>
          <cell r="CM23">
            <v>0</v>
          </cell>
          <cell r="CN23">
            <v>0</v>
          </cell>
          <cell r="CO23">
            <v>0</v>
          </cell>
        </row>
        <row r="24">
          <cell r="A24" t="str">
            <v>Utility winter max peak load</v>
          </cell>
          <cell r="B24" t="str">
            <v>PEAKW</v>
          </cell>
          <cell r="C24">
            <v>2006</v>
          </cell>
          <cell r="D24">
            <v>7570</v>
          </cell>
          <cell r="E24">
            <v>285502</v>
          </cell>
          <cell r="F24">
            <v>168404</v>
          </cell>
          <cell r="G24">
            <v>44355</v>
          </cell>
          <cell r="H24">
            <v>160975</v>
          </cell>
          <cell r="I24">
            <v>270966</v>
          </cell>
          <cell r="J24">
            <v>58743</v>
          </cell>
          <cell r="K24">
            <v>249195</v>
          </cell>
          <cell r="L24">
            <v>48087</v>
          </cell>
          <cell r="M24">
            <v>26491</v>
          </cell>
          <cell r="N24">
            <v>8879</v>
          </cell>
          <cell r="O24">
            <v>132906</v>
          </cell>
          <cell r="P24">
            <v>5844</v>
          </cell>
          <cell r="Q24">
            <v>6286</v>
          </cell>
          <cell r="R24">
            <v>1658</v>
          </cell>
          <cell r="S24">
            <v>47174</v>
          </cell>
          <cell r="T24">
            <v>450300</v>
          </cell>
          <cell r="U24">
            <v>13518</v>
          </cell>
          <cell r="V24">
            <v>1200000</v>
          </cell>
          <cell r="W24">
            <v>71599</v>
          </cell>
          <cell r="X24">
            <v>13185</v>
          </cell>
          <cell r="Y24">
            <v>89900</v>
          </cell>
          <cell r="Z24">
            <v>101191</v>
          </cell>
          <cell r="AA24">
            <v>17382</v>
          </cell>
          <cell r="AB24">
            <v>1914</v>
          </cell>
          <cell r="AC24">
            <v>37031</v>
          </cell>
          <cell r="AD24">
            <v>187511</v>
          </cell>
          <cell r="AE24">
            <v>174545</v>
          </cell>
          <cell r="AF24">
            <v>12966</v>
          </cell>
          <cell r="AG24">
            <v>28835</v>
          </cell>
          <cell r="AH24">
            <v>249415</v>
          </cell>
          <cell r="AI24">
            <v>73868</v>
          </cell>
          <cell r="AJ24">
            <v>0</v>
          </cell>
          <cell r="AK24">
            <v>20766</v>
          </cell>
          <cell r="AL24">
            <v>686690</v>
          </cell>
          <cell r="AM24">
            <v>5998</v>
          </cell>
          <cell r="AN24">
            <v>37012</v>
          </cell>
          <cell r="AO24">
            <v>586900</v>
          </cell>
          <cell r="AP24">
            <v>4163173</v>
          </cell>
          <cell r="AQ24">
            <v>4159115</v>
          </cell>
          <cell r="AR24">
            <v>4058</v>
          </cell>
          <cell r="AS24">
            <v>1249032</v>
          </cell>
          <cell r="AT24">
            <v>48245</v>
          </cell>
          <cell r="AU24">
            <v>20864</v>
          </cell>
          <cell r="AV24">
            <v>125800</v>
          </cell>
          <cell r="AW24">
            <v>316195</v>
          </cell>
          <cell r="AX24">
            <v>46874</v>
          </cell>
          <cell r="AY24">
            <v>40915</v>
          </cell>
          <cell r="AZ24">
            <v>566710</v>
          </cell>
          <cell r="BA24">
            <v>33732</v>
          </cell>
          <cell r="BB24">
            <v>37334</v>
          </cell>
          <cell r="BC24">
            <v>107023</v>
          </cell>
          <cell r="BD24">
            <v>0</v>
          </cell>
          <cell r="BE24">
            <v>122583</v>
          </cell>
          <cell r="BF24">
            <v>113898</v>
          </cell>
          <cell r="BG24">
            <v>8685</v>
          </cell>
          <cell r="BH24">
            <v>192801</v>
          </cell>
          <cell r="BI24">
            <v>134243</v>
          </cell>
          <cell r="BJ24">
            <v>58558</v>
          </cell>
          <cell r="BK24">
            <v>29693</v>
          </cell>
          <cell r="BL24">
            <v>63046</v>
          </cell>
          <cell r="BM24">
            <v>107416</v>
          </cell>
          <cell r="BN24">
            <v>21843</v>
          </cell>
          <cell r="BO24">
            <v>261884</v>
          </cell>
          <cell r="BP24">
            <v>42242</v>
          </cell>
          <cell r="BQ24">
            <v>55532</v>
          </cell>
          <cell r="BR24">
            <v>208543</v>
          </cell>
          <cell r="BS24">
            <v>37266</v>
          </cell>
          <cell r="BT24">
            <v>137316</v>
          </cell>
          <cell r="BU24">
            <v>17750</v>
          </cell>
          <cell r="BV24">
            <v>145957</v>
          </cell>
          <cell r="BW24">
            <v>33279</v>
          </cell>
          <cell r="BX24">
            <v>1085602</v>
          </cell>
          <cell r="BY24">
            <v>18162</v>
          </cell>
          <cell r="BZ24">
            <v>29587</v>
          </cell>
          <cell r="CA24">
            <v>22013</v>
          </cell>
          <cell r="CB24">
            <v>61700</v>
          </cell>
          <cell r="CC24">
            <v>181900</v>
          </cell>
          <cell r="CD24">
            <v>39491</v>
          </cell>
          <cell r="CE24">
            <v>3997737</v>
          </cell>
          <cell r="CF24">
            <v>429300</v>
          </cell>
          <cell r="CG24">
            <v>21968</v>
          </cell>
          <cell r="CH24">
            <v>224636</v>
          </cell>
          <cell r="CI24">
            <v>83838</v>
          </cell>
          <cell r="CJ24">
            <v>16328</v>
          </cell>
          <cell r="CK24">
            <v>25</v>
          </cell>
          <cell r="CL24">
            <v>10516</v>
          </cell>
          <cell r="CM24">
            <v>86857</v>
          </cell>
          <cell r="CN24">
            <v>146687</v>
          </cell>
          <cell r="CO24">
            <v>68265</v>
          </cell>
        </row>
        <row r="25">
          <cell r="A25" t="str">
            <v>Utility summer max peak load</v>
          </cell>
          <cell r="B25" t="str">
            <v>PEAKS</v>
          </cell>
          <cell r="C25">
            <v>2006</v>
          </cell>
          <cell r="D25">
            <v>6790</v>
          </cell>
          <cell r="E25">
            <v>324449</v>
          </cell>
          <cell r="F25">
            <v>219364</v>
          </cell>
          <cell r="G25">
            <v>46817</v>
          </cell>
          <cell r="H25">
            <v>196464</v>
          </cell>
          <cell r="I25">
            <v>378162</v>
          </cell>
          <cell r="J25">
            <v>57418</v>
          </cell>
          <cell r="K25">
            <v>308912</v>
          </cell>
          <cell r="L25">
            <v>58894</v>
          </cell>
          <cell r="M25">
            <v>27179</v>
          </cell>
          <cell r="N25">
            <v>5971</v>
          </cell>
          <cell r="O25">
            <v>184162</v>
          </cell>
          <cell r="P25">
            <v>5739</v>
          </cell>
          <cell r="Q25">
            <v>5902</v>
          </cell>
          <cell r="R25">
            <v>2105</v>
          </cell>
          <cell r="S25">
            <v>53170</v>
          </cell>
          <cell r="T25">
            <v>656700</v>
          </cell>
          <cell r="U25">
            <v>13802</v>
          </cell>
          <cell r="V25">
            <v>1610300</v>
          </cell>
          <cell r="W25">
            <v>77989</v>
          </cell>
          <cell r="X25">
            <v>9646</v>
          </cell>
          <cell r="Y25">
            <v>142300</v>
          </cell>
          <cell r="Z25">
            <v>111673</v>
          </cell>
          <cell r="AA25">
            <v>14085</v>
          </cell>
          <cell r="AB25">
            <v>1452</v>
          </cell>
          <cell r="AC25">
            <v>24683</v>
          </cell>
          <cell r="AD25">
            <v>182397</v>
          </cell>
          <cell r="AE25">
            <v>172736</v>
          </cell>
          <cell r="AF25">
            <v>9661</v>
          </cell>
          <cell r="AG25">
            <v>42675</v>
          </cell>
          <cell r="AH25">
            <v>285750</v>
          </cell>
          <cell r="AI25">
            <v>84996</v>
          </cell>
          <cell r="AJ25">
            <v>0</v>
          </cell>
          <cell r="AK25">
            <v>18329</v>
          </cell>
          <cell r="AL25">
            <v>1125947</v>
          </cell>
          <cell r="AM25">
            <v>4034</v>
          </cell>
          <cell r="AN25">
            <v>30501</v>
          </cell>
          <cell r="AO25">
            <v>784900</v>
          </cell>
          <cell r="AP25">
            <v>3774951</v>
          </cell>
          <cell r="AQ25">
            <v>3772262</v>
          </cell>
          <cell r="AR25">
            <v>2689</v>
          </cell>
          <cell r="AS25">
            <v>1495303</v>
          </cell>
          <cell r="AT25">
            <v>45056</v>
          </cell>
          <cell r="AU25">
            <v>18857</v>
          </cell>
          <cell r="AV25">
            <v>119658</v>
          </cell>
          <cell r="AW25">
            <v>379972</v>
          </cell>
          <cell r="AX25">
            <v>47537</v>
          </cell>
          <cell r="AY25">
            <v>36089</v>
          </cell>
          <cell r="AZ25">
            <v>719375</v>
          </cell>
          <cell r="BA25">
            <v>37803</v>
          </cell>
          <cell r="BB25">
            <v>39188</v>
          </cell>
          <cell r="BC25">
            <v>126855</v>
          </cell>
          <cell r="BD25">
            <v>0</v>
          </cell>
          <cell r="BE25">
            <v>163930</v>
          </cell>
          <cell r="BF25">
            <v>155239</v>
          </cell>
          <cell r="BG25">
            <v>8691</v>
          </cell>
          <cell r="BH25">
            <v>268958</v>
          </cell>
          <cell r="BI25">
            <v>193124</v>
          </cell>
          <cell r="BJ25">
            <v>75834</v>
          </cell>
          <cell r="BK25">
            <v>43843</v>
          </cell>
          <cell r="BL25">
            <v>75689</v>
          </cell>
          <cell r="BM25">
            <v>87634</v>
          </cell>
          <cell r="BN25">
            <v>21012</v>
          </cell>
          <cell r="BO25">
            <v>363987</v>
          </cell>
          <cell r="BP25">
            <v>48878</v>
          </cell>
          <cell r="BQ25">
            <v>58542</v>
          </cell>
          <cell r="BR25">
            <v>222832</v>
          </cell>
          <cell r="BS25">
            <v>36020</v>
          </cell>
          <cell r="BT25">
            <v>99704</v>
          </cell>
          <cell r="BU25">
            <v>12570</v>
          </cell>
          <cell r="BV25">
            <v>157909</v>
          </cell>
          <cell r="BW25">
            <v>44252</v>
          </cell>
          <cell r="BX25">
            <v>1576599</v>
          </cell>
          <cell r="BY25">
            <v>19051</v>
          </cell>
          <cell r="BZ25">
            <v>21274</v>
          </cell>
          <cell r="CA25">
            <v>15345</v>
          </cell>
          <cell r="CB25">
            <v>77500</v>
          </cell>
          <cell r="CC25">
            <v>168500</v>
          </cell>
          <cell r="CD25">
            <v>43121</v>
          </cell>
          <cell r="CE25">
            <v>5018278</v>
          </cell>
          <cell r="CF25">
            <v>506600</v>
          </cell>
          <cell r="CG25">
            <v>26156</v>
          </cell>
          <cell r="CH25">
            <v>267631</v>
          </cell>
          <cell r="CI25">
            <v>104372</v>
          </cell>
          <cell r="CJ25">
            <v>15137</v>
          </cell>
          <cell r="CK25">
            <v>25</v>
          </cell>
          <cell r="CL25">
            <v>11295</v>
          </cell>
          <cell r="CM25">
            <v>70839</v>
          </cell>
          <cell r="CN25">
            <v>192475</v>
          </cell>
          <cell r="CO25">
            <v>81815</v>
          </cell>
        </row>
        <row r="26">
          <cell r="A26" t="str">
            <v>Utility average peak load</v>
          </cell>
          <cell r="B26" t="str">
            <v>PEAKA</v>
          </cell>
          <cell r="C26">
            <v>2006</v>
          </cell>
          <cell r="D26">
            <v>6722</v>
          </cell>
          <cell r="E26">
            <v>273268</v>
          </cell>
          <cell r="F26">
            <v>172161</v>
          </cell>
          <cell r="G26">
            <v>42630</v>
          </cell>
          <cell r="H26">
            <v>159268</v>
          </cell>
          <cell r="I26">
            <v>287365</v>
          </cell>
          <cell r="J26">
            <v>52971</v>
          </cell>
          <cell r="K26">
            <v>256281</v>
          </cell>
          <cell r="L26">
            <v>46999</v>
          </cell>
          <cell r="M26">
            <v>24965</v>
          </cell>
          <cell r="N26">
            <v>4810</v>
          </cell>
          <cell r="O26">
            <v>140482</v>
          </cell>
          <cell r="P26">
            <v>5279</v>
          </cell>
          <cell r="Q26">
            <v>5309</v>
          </cell>
          <cell r="R26">
            <v>1505</v>
          </cell>
          <cell r="S26">
            <v>39354</v>
          </cell>
          <cell r="T26">
            <v>502692</v>
          </cell>
          <cell r="U26">
            <v>12439</v>
          </cell>
          <cell r="V26">
            <v>1266150</v>
          </cell>
          <cell r="W26">
            <v>68417</v>
          </cell>
          <cell r="X26">
            <v>10515</v>
          </cell>
          <cell r="Y26">
            <v>96000</v>
          </cell>
          <cell r="Z26">
            <v>98834</v>
          </cell>
          <cell r="AA26">
            <v>14135</v>
          </cell>
          <cell r="AB26">
            <v>1571</v>
          </cell>
          <cell r="AC26">
            <v>29655</v>
          </cell>
          <cell r="AD26">
            <v>164667</v>
          </cell>
          <cell r="AE26">
            <v>154707</v>
          </cell>
          <cell r="AF26">
            <v>9960</v>
          </cell>
          <cell r="AG26">
            <v>30422</v>
          </cell>
          <cell r="AH26">
            <v>250864</v>
          </cell>
          <cell r="AI26">
            <v>72136</v>
          </cell>
          <cell r="AJ26">
            <v>0</v>
          </cell>
          <cell r="AK26">
            <v>17869</v>
          </cell>
          <cell r="AL26">
            <v>874524</v>
          </cell>
          <cell r="AM26">
            <v>4251</v>
          </cell>
          <cell r="AN26">
            <v>31035</v>
          </cell>
          <cell r="AO26">
            <v>611400</v>
          </cell>
          <cell r="AP26">
            <v>3512100</v>
          </cell>
          <cell r="AQ26">
            <v>3509169</v>
          </cell>
          <cell r="AR26">
            <v>2931</v>
          </cell>
          <cell r="AS26">
            <v>1205185</v>
          </cell>
          <cell r="AT26">
            <v>41483</v>
          </cell>
          <cell r="AU26">
            <v>18013</v>
          </cell>
          <cell r="AV26">
            <v>110853</v>
          </cell>
          <cell r="AW26">
            <v>315999</v>
          </cell>
          <cell r="AX26">
            <v>44374</v>
          </cell>
          <cell r="AY26">
            <v>35104</v>
          </cell>
          <cell r="AZ26">
            <v>559714</v>
          </cell>
          <cell r="BA26">
            <v>29829</v>
          </cell>
          <cell r="BB26">
            <v>35574</v>
          </cell>
          <cell r="BC26">
            <v>104537</v>
          </cell>
          <cell r="BD26">
            <v>0</v>
          </cell>
          <cell r="BE26">
            <v>127815</v>
          </cell>
          <cell r="BF26">
            <v>120336</v>
          </cell>
          <cell r="BG26">
            <v>7479</v>
          </cell>
          <cell r="BH26">
            <v>201558</v>
          </cell>
          <cell r="BI26">
            <v>142631</v>
          </cell>
          <cell r="BJ26">
            <v>58927</v>
          </cell>
          <cell r="BK26">
            <v>30556</v>
          </cell>
          <cell r="BL26">
            <v>61418</v>
          </cell>
          <cell r="BM26">
            <v>89773</v>
          </cell>
          <cell r="BN26">
            <v>21428</v>
          </cell>
          <cell r="BO26">
            <v>276407</v>
          </cell>
          <cell r="BP26">
            <v>40364</v>
          </cell>
          <cell r="BQ26">
            <v>50230</v>
          </cell>
          <cell r="BR26">
            <v>190015</v>
          </cell>
          <cell r="BS26">
            <v>36643</v>
          </cell>
          <cell r="BT26">
            <v>110401</v>
          </cell>
          <cell r="BU26">
            <v>13617</v>
          </cell>
          <cell r="BV26">
            <v>135233</v>
          </cell>
          <cell r="BW26">
            <v>33927</v>
          </cell>
          <cell r="BX26">
            <v>1170832</v>
          </cell>
          <cell r="BY26">
            <v>16646</v>
          </cell>
          <cell r="BZ26">
            <v>21222</v>
          </cell>
          <cell r="CA26">
            <v>15882</v>
          </cell>
          <cell r="CB26">
            <v>61300</v>
          </cell>
          <cell r="CC26">
            <v>163000</v>
          </cell>
          <cell r="CD26">
            <v>37435</v>
          </cell>
          <cell r="CE26">
            <v>4091297</v>
          </cell>
          <cell r="CF26">
            <v>417442</v>
          </cell>
          <cell r="CG26">
            <v>19121</v>
          </cell>
          <cell r="CH26">
            <v>221002</v>
          </cell>
          <cell r="CI26">
            <v>84473</v>
          </cell>
          <cell r="CJ26">
            <v>15732</v>
          </cell>
          <cell r="CK26">
            <v>24</v>
          </cell>
          <cell r="CL26">
            <v>10092</v>
          </cell>
          <cell r="CM26">
            <v>70982</v>
          </cell>
          <cell r="CN26">
            <v>148314</v>
          </cell>
          <cell r="CO26">
            <v>67615</v>
          </cell>
        </row>
        <row r="27">
          <cell r="A27" t="str">
            <v>Total circuit kms of line</v>
          </cell>
          <cell r="B27" t="str">
            <v>KMC</v>
          </cell>
          <cell r="C27">
            <v>2006</v>
          </cell>
          <cell r="D27">
            <v>92</v>
          </cell>
          <cell r="E27">
            <v>1447</v>
          </cell>
          <cell r="F27">
            <v>746</v>
          </cell>
          <cell r="G27">
            <v>321</v>
          </cell>
          <cell r="H27">
            <v>491</v>
          </cell>
          <cell r="I27">
            <v>1511</v>
          </cell>
          <cell r="J27">
            <v>350</v>
          </cell>
          <cell r="K27">
            <v>1097</v>
          </cell>
          <cell r="L27">
            <v>519</v>
          </cell>
          <cell r="M27">
            <v>140</v>
          </cell>
          <cell r="N27">
            <v>27</v>
          </cell>
          <cell r="O27">
            <v>783</v>
          </cell>
          <cell r="P27">
            <v>21</v>
          </cell>
          <cell r="Q27">
            <v>28</v>
          </cell>
          <cell r="R27">
            <v>7</v>
          </cell>
          <cell r="S27">
            <v>145</v>
          </cell>
          <cell r="T27">
            <v>1158</v>
          </cell>
          <cell r="U27">
            <v>171</v>
          </cell>
          <cell r="V27">
            <v>5092</v>
          </cell>
          <cell r="W27">
            <v>258</v>
          </cell>
          <cell r="X27">
            <v>136</v>
          </cell>
          <cell r="Y27">
            <v>462</v>
          </cell>
          <cell r="Z27">
            <v>274</v>
          </cell>
          <cell r="AA27">
            <v>84</v>
          </cell>
          <cell r="AB27">
            <v>9</v>
          </cell>
          <cell r="AC27">
            <v>1832</v>
          </cell>
          <cell r="AD27">
            <v>871</v>
          </cell>
          <cell r="AE27">
            <v>833</v>
          </cell>
          <cell r="AF27">
            <v>38</v>
          </cell>
          <cell r="AG27">
            <v>202</v>
          </cell>
          <cell r="AH27">
            <v>1002</v>
          </cell>
          <cell r="AI27">
            <v>1693</v>
          </cell>
          <cell r="AJ27">
            <v>1332</v>
          </cell>
          <cell r="AK27">
            <v>68</v>
          </cell>
          <cell r="AL27">
            <v>3265</v>
          </cell>
          <cell r="AM27">
            <v>20</v>
          </cell>
          <cell r="AN27">
            <v>65</v>
          </cell>
          <cell r="AO27">
            <v>2601</v>
          </cell>
          <cell r="AP27">
            <v>119879</v>
          </cell>
          <cell r="AQ27">
            <v>119859</v>
          </cell>
          <cell r="AR27">
            <v>20</v>
          </cell>
          <cell r="AS27">
            <v>5451</v>
          </cell>
          <cell r="AT27">
            <v>631</v>
          </cell>
          <cell r="AU27">
            <v>98</v>
          </cell>
          <cell r="AV27">
            <v>348</v>
          </cell>
          <cell r="AW27">
            <v>1787</v>
          </cell>
          <cell r="AX27">
            <v>114</v>
          </cell>
          <cell r="AY27">
            <v>338</v>
          </cell>
          <cell r="AZ27">
            <v>2568</v>
          </cell>
          <cell r="BA27">
            <v>104</v>
          </cell>
          <cell r="BB27">
            <v>115</v>
          </cell>
          <cell r="BC27">
            <v>792</v>
          </cell>
          <cell r="BD27">
            <v>4</v>
          </cell>
          <cell r="BE27">
            <v>1012</v>
          </cell>
          <cell r="BF27">
            <v>655</v>
          </cell>
          <cell r="BG27">
            <v>357</v>
          </cell>
          <cell r="BH27">
            <v>1830</v>
          </cell>
          <cell r="BI27">
            <v>778</v>
          </cell>
          <cell r="BJ27">
            <v>1052</v>
          </cell>
          <cell r="BK27">
            <v>338</v>
          </cell>
          <cell r="BL27">
            <v>653</v>
          </cell>
          <cell r="BM27">
            <v>600</v>
          </cell>
          <cell r="BN27">
            <v>370</v>
          </cell>
          <cell r="BO27">
            <v>1372</v>
          </cell>
          <cell r="BP27">
            <v>156</v>
          </cell>
          <cell r="BQ27">
            <v>302</v>
          </cell>
          <cell r="BR27">
            <v>934</v>
          </cell>
          <cell r="BS27">
            <v>146</v>
          </cell>
          <cell r="BT27">
            <v>722</v>
          </cell>
          <cell r="BU27">
            <v>128</v>
          </cell>
          <cell r="BV27">
            <v>545</v>
          </cell>
          <cell r="BW27">
            <v>307</v>
          </cell>
          <cell r="BX27">
            <v>6018</v>
          </cell>
          <cell r="BY27">
            <v>55</v>
          </cell>
          <cell r="BZ27">
            <v>87</v>
          </cell>
          <cell r="CA27">
            <v>211</v>
          </cell>
          <cell r="CB27">
            <v>246</v>
          </cell>
          <cell r="CC27">
            <v>1340</v>
          </cell>
          <cell r="CD27">
            <v>151</v>
          </cell>
          <cell r="CE27">
            <v>16700</v>
          </cell>
          <cell r="CF27">
            <v>1977</v>
          </cell>
          <cell r="CG27">
            <v>223</v>
          </cell>
          <cell r="CH27">
            <v>1342</v>
          </cell>
          <cell r="CI27">
            <v>431</v>
          </cell>
          <cell r="CJ27">
            <v>139</v>
          </cell>
          <cell r="CK27">
            <v>65</v>
          </cell>
          <cell r="CL27">
            <v>34</v>
          </cell>
          <cell r="CM27">
            <v>436</v>
          </cell>
          <cell r="CN27">
            <v>996</v>
          </cell>
          <cell r="CO27">
            <v>260</v>
          </cell>
        </row>
        <row r="28">
          <cell r="A28" t="str">
            <v>Overhead circuit kms of line</v>
          </cell>
          <cell r="B28" t="str">
            <v>KMCO</v>
          </cell>
          <cell r="C28">
            <v>2006</v>
          </cell>
          <cell r="D28">
            <v>92</v>
          </cell>
          <cell r="E28">
            <v>657</v>
          </cell>
          <cell r="F28">
            <v>583</v>
          </cell>
          <cell r="G28">
            <v>252</v>
          </cell>
          <cell r="H28">
            <v>277</v>
          </cell>
          <cell r="I28">
            <v>895</v>
          </cell>
          <cell r="J28">
            <v>235</v>
          </cell>
          <cell r="K28">
            <v>728</v>
          </cell>
          <cell r="L28">
            <v>480</v>
          </cell>
          <cell r="M28">
            <v>77</v>
          </cell>
          <cell r="N28">
            <v>26</v>
          </cell>
          <cell r="O28">
            <v>568</v>
          </cell>
          <cell r="P28">
            <v>17</v>
          </cell>
          <cell r="Q28">
            <v>15</v>
          </cell>
          <cell r="R28">
            <v>6</v>
          </cell>
          <cell r="S28">
            <v>89</v>
          </cell>
          <cell r="T28">
            <v>712</v>
          </cell>
          <cell r="U28">
            <v>167</v>
          </cell>
          <cell r="V28">
            <v>1757</v>
          </cell>
          <cell r="W28">
            <v>203</v>
          </cell>
          <cell r="X28">
            <v>126</v>
          </cell>
          <cell r="Y28">
            <v>233</v>
          </cell>
          <cell r="Z28">
            <v>184</v>
          </cell>
          <cell r="AA28">
            <v>76</v>
          </cell>
          <cell r="AB28">
            <v>8</v>
          </cell>
          <cell r="AC28">
            <v>1831</v>
          </cell>
          <cell r="AD28">
            <v>696</v>
          </cell>
          <cell r="AE28">
            <v>660</v>
          </cell>
          <cell r="AF28">
            <v>36</v>
          </cell>
          <cell r="AG28">
            <v>153</v>
          </cell>
          <cell r="AH28">
            <v>425</v>
          </cell>
          <cell r="AI28">
            <v>1615</v>
          </cell>
          <cell r="AJ28">
            <v>876</v>
          </cell>
          <cell r="AK28">
            <v>57</v>
          </cell>
          <cell r="AL28">
            <v>1525</v>
          </cell>
          <cell r="AM28">
            <v>18</v>
          </cell>
          <cell r="AN28">
            <v>56</v>
          </cell>
          <cell r="AO28">
            <v>785</v>
          </cell>
          <cell r="AP28">
            <v>115649</v>
          </cell>
          <cell r="AQ28">
            <v>115629</v>
          </cell>
          <cell r="AR28">
            <v>20</v>
          </cell>
          <cell r="AS28">
            <v>3450</v>
          </cell>
          <cell r="AT28">
            <v>510</v>
          </cell>
          <cell r="AU28">
            <v>88</v>
          </cell>
          <cell r="AV28">
            <v>242</v>
          </cell>
          <cell r="AW28">
            <v>1036</v>
          </cell>
          <cell r="AX28">
            <v>95</v>
          </cell>
          <cell r="AY28">
            <v>280</v>
          </cell>
          <cell r="AZ28">
            <v>1259</v>
          </cell>
          <cell r="BA28">
            <v>79</v>
          </cell>
          <cell r="BB28">
            <v>79</v>
          </cell>
          <cell r="BC28">
            <v>531</v>
          </cell>
          <cell r="BD28">
            <v>3</v>
          </cell>
          <cell r="BE28">
            <v>580</v>
          </cell>
          <cell r="BF28">
            <v>238</v>
          </cell>
          <cell r="BG28">
            <v>342</v>
          </cell>
          <cell r="BH28">
            <v>1458</v>
          </cell>
          <cell r="BI28">
            <v>449</v>
          </cell>
          <cell r="BJ28">
            <v>1009</v>
          </cell>
          <cell r="BK28">
            <v>254</v>
          </cell>
          <cell r="BL28">
            <v>573</v>
          </cell>
          <cell r="BM28">
            <v>509</v>
          </cell>
          <cell r="BN28">
            <v>365</v>
          </cell>
          <cell r="BO28">
            <v>540</v>
          </cell>
          <cell r="BP28">
            <v>91</v>
          </cell>
          <cell r="BQ28">
            <v>245</v>
          </cell>
          <cell r="BR28">
            <v>503</v>
          </cell>
          <cell r="BS28">
            <v>127</v>
          </cell>
          <cell r="BT28">
            <v>610</v>
          </cell>
          <cell r="BU28">
            <v>117</v>
          </cell>
          <cell r="BV28">
            <v>384</v>
          </cell>
          <cell r="BW28">
            <v>298</v>
          </cell>
          <cell r="BX28">
            <v>1865</v>
          </cell>
          <cell r="BY28">
            <v>53</v>
          </cell>
          <cell r="BZ28">
            <v>78</v>
          </cell>
          <cell r="CA28">
            <v>205</v>
          </cell>
          <cell r="CB28">
            <v>171</v>
          </cell>
          <cell r="CC28">
            <v>886</v>
          </cell>
          <cell r="CD28">
            <v>102</v>
          </cell>
          <cell r="CE28">
            <v>9100</v>
          </cell>
          <cell r="CF28">
            <v>1346</v>
          </cell>
          <cell r="CG28">
            <v>121</v>
          </cell>
          <cell r="CH28">
            <v>940</v>
          </cell>
          <cell r="CI28">
            <v>327</v>
          </cell>
          <cell r="CJ28">
            <v>153</v>
          </cell>
          <cell r="CK28">
            <v>52</v>
          </cell>
          <cell r="CL28">
            <v>27</v>
          </cell>
          <cell r="CM28">
            <v>309</v>
          </cell>
          <cell r="CN28">
            <v>476</v>
          </cell>
          <cell r="CO28">
            <v>152</v>
          </cell>
        </row>
        <row r="29">
          <cell r="A29" t="str">
            <v>Underground circuit kms ofline</v>
          </cell>
          <cell r="B29" t="str">
            <v>KMCU</v>
          </cell>
          <cell r="C29">
            <v>2006</v>
          </cell>
          <cell r="D29">
            <v>0</v>
          </cell>
          <cell r="E29">
            <v>790</v>
          </cell>
          <cell r="F29">
            <v>163</v>
          </cell>
          <cell r="G29">
            <v>38</v>
          </cell>
          <cell r="H29">
            <v>214</v>
          </cell>
          <cell r="I29">
            <v>616</v>
          </cell>
          <cell r="J29">
            <v>115</v>
          </cell>
          <cell r="K29">
            <v>369</v>
          </cell>
          <cell r="L29">
            <v>37</v>
          </cell>
          <cell r="M29">
            <v>63</v>
          </cell>
          <cell r="N29">
            <v>1</v>
          </cell>
          <cell r="O29">
            <v>215</v>
          </cell>
          <cell r="P29">
            <v>4</v>
          </cell>
          <cell r="Q29">
            <v>12</v>
          </cell>
          <cell r="R29">
            <v>1</v>
          </cell>
          <cell r="S29">
            <v>55</v>
          </cell>
          <cell r="T29">
            <v>446</v>
          </cell>
          <cell r="U29">
            <v>4</v>
          </cell>
          <cell r="V29">
            <v>3335</v>
          </cell>
          <cell r="W29">
            <v>55</v>
          </cell>
          <cell r="X29">
            <v>11</v>
          </cell>
          <cell r="Y29">
            <v>229</v>
          </cell>
          <cell r="Z29">
            <v>90</v>
          </cell>
          <cell r="AA29">
            <v>0</v>
          </cell>
          <cell r="AB29">
            <v>1</v>
          </cell>
          <cell r="AC29">
            <v>1</v>
          </cell>
          <cell r="AD29">
            <v>175</v>
          </cell>
          <cell r="AE29">
            <v>173</v>
          </cell>
          <cell r="AF29">
            <v>2</v>
          </cell>
          <cell r="AG29">
            <v>49</v>
          </cell>
          <cell r="AH29">
            <v>577</v>
          </cell>
          <cell r="AI29">
            <v>78</v>
          </cell>
          <cell r="AJ29">
            <v>456</v>
          </cell>
          <cell r="AK29">
            <v>11</v>
          </cell>
          <cell r="AL29">
            <v>1740</v>
          </cell>
          <cell r="AM29">
            <v>2</v>
          </cell>
          <cell r="AN29">
            <v>9</v>
          </cell>
          <cell r="AO29">
            <v>1816</v>
          </cell>
          <cell r="AP29">
            <v>4230</v>
          </cell>
          <cell r="AQ29">
            <v>4230</v>
          </cell>
          <cell r="AR29">
            <v>0</v>
          </cell>
          <cell r="AS29">
            <v>2001</v>
          </cell>
          <cell r="AT29">
            <v>111</v>
          </cell>
          <cell r="AU29">
            <v>10</v>
          </cell>
          <cell r="AV29">
            <v>106</v>
          </cell>
          <cell r="AW29">
            <v>751</v>
          </cell>
          <cell r="AX29">
            <v>19</v>
          </cell>
          <cell r="AY29">
            <v>58</v>
          </cell>
          <cell r="AZ29">
            <v>1309</v>
          </cell>
          <cell r="BA29">
            <v>25</v>
          </cell>
          <cell r="BB29">
            <v>36</v>
          </cell>
          <cell r="BC29">
            <v>261</v>
          </cell>
          <cell r="BD29">
            <v>1</v>
          </cell>
          <cell r="BE29">
            <v>430</v>
          </cell>
          <cell r="BF29">
            <v>416</v>
          </cell>
          <cell r="BG29">
            <v>14</v>
          </cell>
          <cell r="BH29">
            <v>372</v>
          </cell>
          <cell r="BI29">
            <v>329</v>
          </cell>
          <cell r="BJ29">
            <v>43</v>
          </cell>
          <cell r="BK29">
            <v>83</v>
          </cell>
          <cell r="BL29">
            <v>80</v>
          </cell>
          <cell r="BM29">
            <v>91</v>
          </cell>
          <cell r="BN29">
            <v>5</v>
          </cell>
          <cell r="BO29">
            <v>832</v>
          </cell>
          <cell r="BP29">
            <v>65</v>
          </cell>
          <cell r="BQ29">
            <v>57</v>
          </cell>
          <cell r="BR29">
            <v>431</v>
          </cell>
          <cell r="BS29">
            <v>19</v>
          </cell>
          <cell r="BT29">
            <v>112</v>
          </cell>
          <cell r="BU29">
            <v>11</v>
          </cell>
          <cell r="BV29">
            <v>161</v>
          </cell>
          <cell r="BW29">
            <v>8</v>
          </cell>
          <cell r="BX29">
            <v>4153</v>
          </cell>
          <cell r="BY29">
            <v>2</v>
          </cell>
          <cell r="BZ29">
            <v>9</v>
          </cell>
          <cell r="CA29">
            <v>6</v>
          </cell>
          <cell r="CB29">
            <v>75</v>
          </cell>
          <cell r="CC29">
            <v>454</v>
          </cell>
          <cell r="CD29">
            <v>49</v>
          </cell>
          <cell r="CE29">
            <v>7600</v>
          </cell>
          <cell r="CF29">
            <v>631</v>
          </cell>
          <cell r="CG29">
            <v>101</v>
          </cell>
          <cell r="CH29">
            <v>402</v>
          </cell>
          <cell r="CI29">
            <v>104</v>
          </cell>
          <cell r="CJ29">
            <v>12</v>
          </cell>
          <cell r="CK29">
            <v>13</v>
          </cell>
          <cell r="CL29">
            <v>7</v>
          </cell>
          <cell r="CM29">
            <v>126</v>
          </cell>
          <cell r="CN29">
            <v>520</v>
          </cell>
          <cell r="CO29">
            <v>105</v>
          </cell>
        </row>
        <row r="30">
          <cell r="A30" t="str">
            <v>Circuit kilometers 3 phase</v>
          </cell>
          <cell r="B30" t="str">
            <v>KMC3</v>
          </cell>
          <cell r="C30">
            <v>2006</v>
          </cell>
          <cell r="D30">
            <v>47</v>
          </cell>
          <cell r="E30">
            <v>686</v>
          </cell>
          <cell r="F30">
            <v>426</v>
          </cell>
          <cell r="G30">
            <v>161</v>
          </cell>
          <cell r="H30">
            <v>236</v>
          </cell>
          <cell r="I30">
            <v>136</v>
          </cell>
          <cell r="J30">
            <v>117</v>
          </cell>
          <cell r="K30">
            <v>460</v>
          </cell>
          <cell r="L30">
            <v>0</v>
          </cell>
          <cell r="M30">
            <v>68</v>
          </cell>
          <cell r="N30">
            <v>15</v>
          </cell>
          <cell r="O30">
            <v>506</v>
          </cell>
          <cell r="P30">
            <v>10</v>
          </cell>
          <cell r="Q30">
            <v>12</v>
          </cell>
          <cell r="R30">
            <v>5</v>
          </cell>
          <cell r="S30">
            <v>71</v>
          </cell>
          <cell r="T30">
            <v>561</v>
          </cell>
          <cell r="U30">
            <v>0</v>
          </cell>
          <cell r="V30">
            <v>3085</v>
          </cell>
          <cell r="W30">
            <v>14</v>
          </cell>
          <cell r="X30">
            <v>31</v>
          </cell>
          <cell r="Y30">
            <v>166</v>
          </cell>
          <cell r="Z30">
            <v>145</v>
          </cell>
          <cell r="AA30">
            <v>48</v>
          </cell>
          <cell r="AB30">
            <v>4</v>
          </cell>
          <cell r="AC30">
            <v>452</v>
          </cell>
          <cell r="AD30">
            <v>501</v>
          </cell>
          <cell r="AE30">
            <v>481</v>
          </cell>
          <cell r="AF30">
            <v>20</v>
          </cell>
          <cell r="AG30">
            <v>108</v>
          </cell>
          <cell r="AH30">
            <v>455</v>
          </cell>
          <cell r="AI30">
            <v>609</v>
          </cell>
          <cell r="AJ30">
            <v>393</v>
          </cell>
          <cell r="AK30">
            <v>27</v>
          </cell>
          <cell r="AL30">
            <v>1718</v>
          </cell>
          <cell r="AM30">
            <v>10</v>
          </cell>
          <cell r="AN30">
            <v>42</v>
          </cell>
          <cell r="AO30">
            <v>1112</v>
          </cell>
          <cell r="AP30">
            <v>45230</v>
          </cell>
          <cell r="AQ30">
            <v>45221</v>
          </cell>
          <cell r="AR30">
            <v>9</v>
          </cell>
          <cell r="AS30">
            <v>2910</v>
          </cell>
          <cell r="AT30">
            <v>298</v>
          </cell>
          <cell r="AU30">
            <v>61</v>
          </cell>
          <cell r="AV30">
            <v>251</v>
          </cell>
          <cell r="AW30">
            <v>758</v>
          </cell>
          <cell r="AX30">
            <v>72</v>
          </cell>
          <cell r="AY30">
            <v>156</v>
          </cell>
          <cell r="AZ30">
            <v>1177</v>
          </cell>
          <cell r="BA30">
            <v>59</v>
          </cell>
          <cell r="BB30">
            <v>78</v>
          </cell>
          <cell r="BC30">
            <v>404</v>
          </cell>
          <cell r="BD30">
            <v>1</v>
          </cell>
          <cell r="BE30">
            <v>302</v>
          </cell>
          <cell r="BF30">
            <v>271</v>
          </cell>
          <cell r="BG30">
            <v>31</v>
          </cell>
          <cell r="BH30">
            <v>574</v>
          </cell>
          <cell r="BI30">
            <v>369</v>
          </cell>
          <cell r="BJ30">
            <v>205</v>
          </cell>
          <cell r="BK30">
            <v>180</v>
          </cell>
          <cell r="BL30">
            <v>309</v>
          </cell>
          <cell r="BM30">
            <v>358</v>
          </cell>
          <cell r="BN30">
            <v>200</v>
          </cell>
          <cell r="BO30">
            <v>714</v>
          </cell>
          <cell r="BP30">
            <v>87</v>
          </cell>
          <cell r="BQ30">
            <v>221</v>
          </cell>
          <cell r="BR30">
            <v>351</v>
          </cell>
          <cell r="BS30">
            <v>96</v>
          </cell>
          <cell r="BT30">
            <v>455</v>
          </cell>
          <cell r="BU30">
            <v>84</v>
          </cell>
          <cell r="BV30">
            <v>370</v>
          </cell>
          <cell r="BW30">
            <v>0</v>
          </cell>
          <cell r="BX30">
            <v>2751</v>
          </cell>
          <cell r="BY30">
            <v>34</v>
          </cell>
          <cell r="BZ30">
            <v>443</v>
          </cell>
          <cell r="CA30">
            <v>72</v>
          </cell>
          <cell r="CB30">
            <v>153</v>
          </cell>
          <cell r="CC30">
            <v>755</v>
          </cell>
          <cell r="CD30">
            <v>88</v>
          </cell>
          <cell r="CE30">
            <v>0</v>
          </cell>
          <cell r="CF30">
            <v>1046</v>
          </cell>
          <cell r="CG30">
            <v>92</v>
          </cell>
          <cell r="CH30">
            <v>886</v>
          </cell>
          <cell r="CI30">
            <v>277</v>
          </cell>
          <cell r="CJ30">
            <v>139</v>
          </cell>
          <cell r="CK30">
            <v>44</v>
          </cell>
          <cell r="CL30">
            <v>20</v>
          </cell>
          <cell r="CM30">
            <v>244</v>
          </cell>
          <cell r="CN30">
            <v>443</v>
          </cell>
          <cell r="CO30">
            <v>144</v>
          </cell>
        </row>
        <row r="31">
          <cell r="A31" t="str">
            <v>Circuit kilometers 2 phase</v>
          </cell>
          <cell r="B31" t="str">
            <v>KMC2</v>
          </cell>
          <cell r="C31">
            <v>2006</v>
          </cell>
          <cell r="D31">
            <v>0</v>
          </cell>
          <cell r="E31">
            <v>0</v>
          </cell>
          <cell r="F31">
            <v>6</v>
          </cell>
          <cell r="G31">
            <v>10</v>
          </cell>
          <cell r="H31">
            <v>0</v>
          </cell>
          <cell r="I31">
            <v>0</v>
          </cell>
          <cell r="J31">
            <v>0</v>
          </cell>
          <cell r="K31">
            <v>2</v>
          </cell>
          <cell r="L31">
            <v>0</v>
          </cell>
          <cell r="M31">
            <v>0</v>
          </cell>
          <cell r="N31">
            <v>2</v>
          </cell>
          <cell r="O31">
            <v>2</v>
          </cell>
          <cell r="P31">
            <v>1</v>
          </cell>
          <cell r="Q31">
            <v>1</v>
          </cell>
          <cell r="R31">
            <v>0</v>
          </cell>
          <cell r="S31">
            <v>1</v>
          </cell>
          <cell r="T31">
            <v>26</v>
          </cell>
          <cell r="U31">
            <v>0</v>
          </cell>
          <cell r="V31">
            <v>101</v>
          </cell>
          <cell r="W31">
            <v>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20</v>
          </cell>
          <cell r="AM31">
            <v>1</v>
          </cell>
          <cell r="AN31">
            <v>0</v>
          </cell>
          <cell r="AO31">
            <v>22</v>
          </cell>
          <cell r="AP31">
            <v>3582</v>
          </cell>
          <cell r="AQ31">
            <v>3582</v>
          </cell>
          <cell r="AR31">
            <v>0</v>
          </cell>
          <cell r="AS31">
            <v>220</v>
          </cell>
          <cell r="AT31">
            <v>4</v>
          </cell>
          <cell r="AU31">
            <v>0</v>
          </cell>
          <cell r="AV31">
            <v>0</v>
          </cell>
          <cell r="AW31">
            <v>0</v>
          </cell>
          <cell r="AX31">
            <v>0</v>
          </cell>
          <cell r="AY31">
            <v>36</v>
          </cell>
          <cell r="AZ31">
            <v>0</v>
          </cell>
          <cell r="BA31">
            <v>0</v>
          </cell>
          <cell r="BB31">
            <v>0</v>
          </cell>
          <cell r="BC31">
            <v>25</v>
          </cell>
          <cell r="BD31">
            <v>0</v>
          </cell>
          <cell r="BE31">
            <v>7</v>
          </cell>
          <cell r="BF31">
            <v>0</v>
          </cell>
          <cell r="BG31">
            <v>7</v>
          </cell>
          <cell r="BH31">
            <v>0</v>
          </cell>
          <cell r="BI31">
            <v>1</v>
          </cell>
          <cell r="BJ31">
            <v>5</v>
          </cell>
          <cell r="BK31">
            <v>0</v>
          </cell>
          <cell r="BL31">
            <v>2</v>
          </cell>
          <cell r="BM31">
            <v>0</v>
          </cell>
          <cell r="BN31">
            <v>0</v>
          </cell>
          <cell r="BO31">
            <v>0</v>
          </cell>
          <cell r="BP31">
            <v>0</v>
          </cell>
          <cell r="BQ31">
            <v>6</v>
          </cell>
          <cell r="BR31">
            <v>0</v>
          </cell>
          <cell r="BS31">
            <v>1</v>
          </cell>
          <cell r="BT31">
            <v>10</v>
          </cell>
          <cell r="BU31">
            <v>0</v>
          </cell>
          <cell r="BV31">
            <v>8</v>
          </cell>
          <cell r="BW31">
            <v>0</v>
          </cell>
          <cell r="BX31">
            <v>79</v>
          </cell>
          <cell r="BY31">
            <v>1</v>
          </cell>
          <cell r="BZ31">
            <v>0</v>
          </cell>
          <cell r="CA31">
            <v>0</v>
          </cell>
          <cell r="CB31">
            <v>16</v>
          </cell>
          <cell r="CC31">
            <v>0</v>
          </cell>
          <cell r="CD31">
            <v>0</v>
          </cell>
          <cell r="CE31">
            <v>0</v>
          </cell>
          <cell r="CF31">
            <v>21</v>
          </cell>
          <cell r="CG31">
            <v>8</v>
          </cell>
          <cell r="CH31">
            <v>42</v>
          </cell>
          <cell r="CI31">
            <v>0</v>
          </cell>
          <cell r="CJ31">
            <v>0</v>
          </cell>
          <cell r="CK31">
            <v>0</v>
          </cell>
          <cell r="CL31">
            <v>0</v>
          </cell>
          <cell r="CM31">
            <v>4</v>
          </cell>
          <cell r="CN31">
            <v>10</v>
          </cell>
          <cell r="CO31">
            <v>0</v>
          </cell>
        </row>
        <row r="32">
          <cell r="A32" t="str">
            <v>Circuit kms single phase</v>
          </cell>
          <cell r="B32" t="str">
            <v>KMC1</v>
          </cell>
          <cell r="C32">
            <v>2006</v>
          </cell>
          <cell r="D32">
            <v>45</v>
          </cell>
          <cell r="E32">
            <v>761</v>
          </cell>
          <cell r="F32">
            <v>314</v>
          </cell>
          <cell r="G32">
            <v>148</v>
          </cell>
          <cell r="H32">
            <v>256</v>
          </cell>
          <cell r="I32">
            <v>481</v>
          </cell>
          <cell r="J32">
            <v>233</v>
          </cell>
          <cell r="K32">
            <v>634</v>
          </cell>
          <cell r="L32">
            <v>0</v>
          </cell>
          <cell r="M32">
            <v>72</v>
          </cell>
          <cell r="N32">
            <v>9</v>
          </cell>
          <cell r="O32">
            <v>277</v>
          </cell>
          <cell r="P32">
            <v>10</v>
          </cell>
          <cell r="Q32">
            <v>14</v>
          </cell>
          <cell r="R32">
            <v>2</v>
          </cell>
          <cell r="S32">
            <v>72</v>
          </cell>
          <cell r="T32">
            <v>549</v>
          </cell>
          <cell r="U32">
            <v>0</v>
          </cell>
          <cell r="V32">
            <v>1906</v>
          </cell>
          <cell r="W32">
            <v>106</v>
          </cell>
          <cell r="X32">
            <v>105</v>
          </cell>
          <cell r="Y32">
            <v>296</v>
          </cell>
          <cell r="Z32">
            <v>123</v>
          </cell>
          <cell r="AA32">
            <v>27</v>
          </cell>
          <cell r="AB32">
            <v>4</v>
          </cell>
          <cell r="AC32">
            <v>1342</v>
          </cell>
          <cell r="AD32">
            <v>369</v>
          </cell>
          <cell r="AE32">
            <v>352</v>
          </cell>
          <cell r="AF32">
            <v>17</v>
          </cell>
          <cell r="AG32">
            <v>94</v>
          </cell>
          <cell r="AH32">
            <v>547</v>
          </cell>
          <cell r="AI32">
            <v>1025</v>
          </cell>
          <cell r="AJ32">
            <v>940</v>
          </cell>
          <cell r="AK32">
            <v>41</v>
          </cell>
          <cell r="AL32">
            <v>1527</v>
          </cell>
          <cell r="AM32">
            <v>9</v>
          </cell>
          <cell r="AN32">
            <v>23</v>
          </cell>
          <cell r="AO32">
            <v>1467</v>
          </cell>
          <cell r="AP32">
            <v>71066</v>
          </cell>
          <cell r="AQ32">
            <v>71055</v>
          </cell>
          <cell r="AR32">
            <v>11</v>
          </cell>
          <cell r="AS32">
            <v>2321</v>
          </cell>
          <cell r="AT32">
            <v>218</v>
          </cell>
          <cell r="AU32">
            <v>37</v>
          </cell>
          <cell r="AV32">
            <v>96</v>
          </cell>
          <cell r="AW32">
            <v>1028</v>
          </cell>
          <cell r="AX32">
            <v>42</v>
          </cell>
          <cell r="AY32">
            <v>109</v>
          </cell>
          <cell r="AZ32">
            <v>1391</v>
          </cell>
          <cell r="BA32">
            <v>45</v>
          </cell>
          <cell r="BB32">
            <v>25</v>
          </cell>
          <cell r="BC32">
            <v>363</v>
          </cell>
          <cell r="BD32">
            <v>3</v>
          </cell>
          <cell r="BE32">
            <v>688</v>
          </cell>
          <cell r="BF32">
            <v>384</v>
          </cell>
          <cell r="BG32">
            <v>304</v>
          </cell>
          <cell r="BH32">
            <v>1250</v>
          </cell>
          <cell r="BI32">
            <v>408</v>
          </cell>
          <cell r="BJ32">
            <v>842</v>
          </cell>
          <cell r="BK32">
            <v>150</v>
          </cell>
          <cell r="BL32">
            <v>342</v>
          </cell>
          <cell r="BM32">
            <v>242</v>
          </cell>
          <cell r="BN32">
            <v>170</v>
          </cell>
          <cell r="BO32">
            <v>658</v>
          </cell>
          <cell r="BP32">
            <v>69</v>
          </cell>
          <cell r="BQ32">
            <v>75</v>
          </cell>
          <cell r="BR32">
            <v>583</v>
          </cell>
          <cell r="BS32">
            <v>51</v>
          </cell>
          <cell r="BT32">
            <v>258</v>
          </cell>
          <cell r="BU32">
            <v>44</v>
          </cell>
          <cell r="BV32">
            <v>186</v>
          </cell>
          <cell r="BW32">
            <v>0</v>
          </cell>
          <cell r="BX32">
            <v>3188</v>
          </cell>
          <cell r="BY32">
            <v>20</v>
          </cell>
          <cell r="BZ32">
            <v>35</v>
          </cell>
          <cell r="CA32">
            <v>139</v>
          </cell>
          <cell r="CB32">
            <v>78</v>
          </cell>
          <cell r="CC32">
            <v>584</v>
          </cell>
          <cell r="CD32">
            <v>63</v>
          </cell>
          <cell r="CE32">
            <v>0</v>
          </cell>
          <cell r="CF32">
            <v>771</v>
          </cell>
          <cell r="CG32">
            <v>124</v>
          </cell>
          <cell r="CH32">
            <v>414</v>
          </cell>
          <cell r="CI32">
            <v>153</v>
          </cell>
          <cell r="CJ32">
            <v>26</v>
          </cell>
          <cell r="CK32">
            <v>21</v>
          </cell>
          <cell r="CL32">
            <v>14</v>
          </cell>
          <cell r="CM32">
            <v>186</v>
          </cell>
          <cell r="CN32">
            <v>543</v>
          </cell>
          <cell r="CO32">
            <v>113</v>
          </cell>
        </row>
        <row r="33">
          <cell r="A33" t="str">
            <v>No transmission transformers</v>
          </cell>
          <cell r="B33" t="str">
            <v>NTRST</v>
          </cell>
          <cell r="C33">
            <v>2006</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277</v>
          </cell>
          <cell r="AQ33">
            <v>277</v>
          </cell>
          <cell r="AR33">
            <v>0</v>
          </cell>
          <cell r="AS33">
            <v>22</v>
          </cell>
          <cell r="AT33">
            <v>0</v>
          </cell>
          <cell r="AU33">
            <v>3</v>
          </cell>
          <cell r="AV33">
            <v>0</v>
          </cell>
          <cell r="AW33">
            <v>16</v>
          </cell>
          <cell r="AX33">
            <v>0</v>
          </cell>
          <cell r="AY33">
            <v>0</v>
          </cell>
          <cell r="AZ33">
            <v>0</v>
          </cell>
          <cell r="BA33">
            <v>0</v>
          </cell>
          <cell r="BB33">
            <v>0</v>
          </cell>
          <cell r="BC33">
            <v>0</v>
          </cell>
          <cell r="BD33">
            <v>0</v>
          </cell>
          <cell r="BE33">
            <v>0</v>
          </cell>
          <cell r="BF33">
            <v>0</v>
          </cell>
          <cell r="BG33">
            <v>0</v>
          </cell>
          <cell r="BH33">
            <v>0</v>
          </cell>
          <cell r="BI33">
            <v>2</v>
          </cell>
          <cell r="BJ33">
            <v>0</v>
          </cell>
          <cell r="BK33">
            <v>2</v>
          </cell>
          <cell r="BL33">
            <v>1</v>
          </cell>
          <cell r="BM33">
            <v>0</v>
          </cell>
          <cell r="BN33">
            <v>0</v>
          </cell>
          <cell r="BO33">
            <v>0</v>
          </cell>
          <cell r="BP33">
            <v>0</v>
          </cell>
          <cell r="BQ33">
            <v>0</v>
          </cell>
          <cell r="BR33">
            <v>0</v>
          </cell>
          <cell r="BS33">
            <v>0</v>
          </cell>
          <cell r="BT33">
            <v>8</v>
          </cell>
          <cell r="BU33">
            <v>0</v>
          </cell>
          <cell r="BV33">
            <v>0</v>
          </cell>
          <cell r="BW33">
            <v>0</v>
          </cell>
          <cell r="BX33">
            <v>10</v>
          </cell>
          <cell r="BY33">
            <v>0</v>
          </cell>
          <cell r="BZ33">
            <v>0</v>
          </cell>
          <cell r="CA33">
            <v>0</v>
          </cell>
          <cell r="CB33">
            <v>0</v>
          </cell>
          <cell r="CC33">
            <v>0</v>
          </cell>
          <cell r="CD33">
            <v>0</v>
          </cell>
          <cell r="CE33">
            <v>2</v>
          </cell>
          <cell r="CF33">
            <v>0</v>
          </cell>
          <cell r="CG33">
            <v>0</v>
          </cell>
          <cell r="CH33">
            <v>8</v>
          </cell>
          <cell r="CI33">
            <v>0</v>
          </cell>
          <cell r="CJ33">
            <v>0</v>
          </cell>
          <cell r="CK33">
            <v>0</v>
          </cell>
          <cell r="CL33">
            <v>0</v>
          </cell>
          <cell r="CM33">
            <v>0</v>
          </cell>
          <cell r="CN33">
            <v>0</v>
          </cell>
          <cell r="CO33">
            <v>0</v>
          </cell>
        </row>
        <row r="34">
          <cell r="A34" t="str">
            <v>No subtransmission transformer</v>
          </cell>
          <cell r="B34" t="str">
            <v>NTRFST</v>
          </cell>
          <cell r="C34">
            <v>2006</v>
          </cell>
          <cell r="D34">
            <v>4</v>
          </cell>
          <cell r="E34">
            <v>40</v>
          </cell>
          <cell r="F34">
            <v>23</v>
          </cell>
          <cell r="G34">
            <v>2</v>
          </cell>
          <cell r="H34">
            <v>4</v>
          </cell>
          <cell r="I34">
            <v>0</v>
          </cell>
          <cell r="J34">
            <v>12</v>
          </cell>
          <cell r="K34">
            <v>6</v>
          </cell>
          <cell r="L34">
            <v>8</v>
          </cell>
          <cell r="M34">
            <v>6</v>
          </cell>
          <cell r="N34">
            <v>0</v>
          </cell>
          <cell r="O34">
            <v>0</v>
          </cell>
          <cell r="P34">
            <v>4</v>
          </cell>
          <cell r="Q34">
            <v>1</v>
          </cell>
          <cell r="R34">
            <v>0</v>
          </cell>
          <cell r="S34">
            <v>0</v>
          </cell>
          <cell r="T34">
            <v>23</v>
          </cell>
          <cell r="U34">
            <v>8</v>
          </cell>
          <cell r="V34">
            <v>107</v>
          </cell>
          <cell r="W34">
            <v>10</v>
          </cell>
          <cell r="X34">
            <v>0</v>
          </cell>
          <cell r="Y34">
            <v>6</v>
          </cell>
          <cell r="Z34">
            <v>10</v>
          </cell>
          <cell r="AA34">
            <v>0</v>
          </cell>
          <cell r="AB34">
            <v>0</v>
          </cell>
          <cell r="AC34">
            <v>21</v>
          </cell>
          <cell r="AD34">
            <v>34</v>
          </cell>
          <cell r="AE34">
            <v>27</v>
          </cell>
          <cell r="AF34">
            <v>7</v>
          </cell>
          <cell r="AG34">
            <v>0</v>
          </cell>
          <cell r="AH34">
            <v>0</v>
          </cell>
          <cell r="AI34">
            <v>14</v>
          </cell>
          <cell r="AJ34">
            <v>74</v>
          </cell>
          <cell r="AK34">
            <v>0</v>
          </cell>
          <cell r="AL34">
            <v>80</v>
          </cell>
          <cell r="AM34">
            <v>0</v>
          </cell>
          <cell r="AN34">
            <v>3</v>
          </cell>
          <cell r="AO34">
            <v>24</v>
          </cell>
          <cell r="AP34">
            <v>1421</v>
          </cell>
          <cell r="AQ34">
            <v>1421</v>
          </cell>
          <cell r="AR34">
            <v>0</v>
          </cell>
          <cell r="AS34">
            <v>154</v>
          </cell>
          <cell r="AT34">
            <v>17</v>
          </cell>
          <cell r="AU34">
            <v>0</v>
          </cell>
          <cell r="AV34">
            <v>34</v>
          </cell>
          <cell r="AW34">
            <v>7</v>
          </cell>
          <cell r="AX34">
            <v>0</v>
          </cell>
          <cell r="AY34">
            <v>7</v>
          </cell>
          <cell r="AZ34">
            <v>49</v>
          </cell>
          <cell r="BA34">
            <v>0</v>
          </cell>
          <cell r="BB34">
            <v>6</v>
          </cell>
          <cell r="BC34">
            <v>0</v>
          </cell>
          <cell r="BD34">
            <v>0</v>
          </cell>
          <cell r="BE34">
            <v>13</v>
          </cell>
          <cell r="BF34">
            <v>13</v>
          </cell>
          <cell r="BG34">
            <v>0</v>
          </cell>
          <cell r="BH34">
            <v>0</v>
          </cell>
          <cell r="BI34">
            <v>14</v>
          </cell>
          <cell r="BJ34">
            <v>0</v>
          </cell>
          <cell r="BK34">
            <v>32</v>
          </cell>
          <cell r="BL34">
            <v>13</v>
          </cell>
          <cell r="BM34">
            <v>21</v>
          </cell>
          <cell r="BN34">
            <v>0</v>
          </cell>
          <cell r="BO34">
            <v>38</v>
          </cell>
          <cell r="BP34">
            <v>0</v>
          </cell>
          <cell r="BQ34">
            <v>0</v>
          </cell>
          <cell r="BR34">
            <v>16</v>
          </cell>
          <cell r="BS34">
            <v>11</v>
          </cell>
          <cell r="BT34">
            <v>33</v>
          </cell>
          <cell r="BU34">
            <v>5</v>
          </cell>
          <cell r="BV34">
            <v>39</v>
          </cell>
          <cell r="BW34">
            <v>7</v>
          </cell>
          <cell r="BX34">
            <v>17</v>
          </cell>
          <cell r="BY34">
            <v>5</v>
          </cell>
          <cell r="BZ34">
            <v>9</v>
          </cell>
          <cell r="CA34">
            <v>0</v>
          </cell>
          <cell r="CB34">
            <v>0</v>
          </cell>
          <cell r="CC34">
            <v>37</v>
          </cell>
          <cell r="CD34">
            <v>3</v>
          </cell>
          <cell r="CE34">
            <v>0</v>
          </cell>
          <cell r="CF34">
            <v>66</v>
          </cell>
          <cell r="CG34">
            <v>3</v>
          </cell>
          <cell r="CH34">
            <v>27</v>
          </cell>
          <cell r="CI34">
            <v>446</v>
          </cell>
          <cell r="CJ34">
            <v>6</v>
          </cell>
          <cell r="CK34">
            <v>4</v>
          </cell>
          <cell r="CL34">
            <v>0</v>
          </cell>
          <cell r="CM34">
            <v>26</v>
          </cell>
          <cell r="CN34">
            <v>17</v>
          </cell>
          <cell r="CO34">
            <v>0</v>
          </cell>
        </row>
        <row r="35">
          <cell r="A35" t="str">
            <v>No distribution transformers</v>
          </cell>
          <cell r="B35" t="str">
            <v>NTRFD</v>
          </cell>
          <cell r="C35">
            <v>2006</v>
          </cell>
          <cell r="D35">
            <v>324</v>
          </cell>
          <cell r="E35">
            <v>8901</v>
          </cell>
          <cell r="F35">
            <v>5016</v>
          </cell>
          <cell r="G35">
            <v>3041</v>
          </cell>
          <cell r="H35">
            <v>3364</v>
          </cell>
          <cell r="I35">
            <v>8880</v>
          </cell>
          <cell r="J35">
            <v>2030</v>
          </cell>
          <cell r="K35">
            <v>6803</v>
          </cell>
          <cell r="L35">
            <v>2338</v>
          </cell>
          <cell r="M35">
            <v>815</v>
          </cell>
          <cell r="N35">
            <v>1</v>
          </cell>
          <cell r="O35">
            <v>3603</v>
          </cell>
          <cell r="P35">
            <v>239</v>
          </cell>
          <cell r="Q35">
            <v>281</v>
          </cell>
          <cell r="R35">
            <v>68</v>
          </cell>
          <cell r="S35">
            <v>1526</v>
          </cell>
          <cell r="T35">
            <v>8016</v>
          </cell>
          <cell r="U35">
            <v>785</v>
          </cell>
          <cell r="V35">
            <v>25400</v>
          </cell>
          <cell r="W35">
            <v>1563</v>
          </cell>
          <cell r="X35">
            <v>721</v>
          </cell>
          <cell r="Y35">
            <v>3100</v>
          </cell>
          <cell r="Z35">
            <v>2418</v>
          </cell>
          <cell r="AA35">
            <v>792</v>
          </cell>
          <cell r="AB35">
            <v>75</v>
          </cell>
          <cell r="AC35">
            <v>6000</v>
          </cell>
          <cell r="AD35">
            <v>5496</v>
          </cell>
          <cell r="AE35">
            <v>5066</v>
          </cell>
          <cell r="AF35">
            <v>430</v>
          </cell>
          <cell r="AG35">
            <v>1414</v>
          </cell>
          <cell r="AH35">
            <v>5570</v>
          </cell>
          <cell r="AI35">
            <v>7039</v>
          </cell>
          <cell r="AJ35">
            <v>3617</v>
          </cell>
          <cell r="AK35">
            <v>59</v>
          </cell>
          <cell r="AL35">
            <v>23459</v>
          </cell>
          <cell r="AM35">
            <v>177</v>
          </cell>
          <cell r="AN35">
            <v>737</v>
          </cell>
          <cell r="AO35">
            <v>14449</v>
          </cell>
          <cell r="AP35">
            <v>520182</v>
          </cell>
          <cell r="AQ35">
            <v>520010</v>
          </cell>
          <cell r="AR35">
            <v>172</v>
          </cell>
          <cell r="AS35">
            <v>38500</v>
          </cell>
          <cell r="AT35">
            <v>3024</v>
          </cell>
          <cell r="AU35">
            <v>688</v>
          </cell>
          <cell r="AV35">
            <v>2200</v>
          </cell>
          <cell r="AW35">
            <v>9853</v>
          </cell>
          <cell r="AX35">
            <v>975</v>
          </cell>
          <cell r="AY35">
            <v>1927</v>
          </cell>
          <cell r="AZ35">
            <v>14788</v>
          </cell>
          <cell r="BA35">
            <v>1113</v>
          </cell>
          <cell r="BB35">
            <v>1235</v>
          </cell>
          <cell r="BC35">
            <v>4320</v>
          </cell>
          <cell r="BD35">
            <v>15</v>
          </cell>
          <cell r="BE35">
            <v>3923</v>
          </cell>
          <cell r="BF35">
            <v>3268</v>
          </cell>
          <cell r="BG35">
            <v>655</v>
          </cell>
          <cell r="BH35">
            <v>8844</v>
          </cell>
          <cell r="BI35">
            <v>4030</v>
          </cell>
          <cell r="BJ35">
            <v>4814</v>
          </cell>
          <cell r="BK35">
            <v>1701</v>
          </cell>
          <cell r="BL35">
            <v>4389</v>
          </cell>
          <cell r="BM35">
            <v>3912</v>
          </cell>
          <cell r="BN35">
            <v>0</v>
          </cell>
          <cell r="BO35">
            <v>7980</v>
          </cell>
          <cell r="BP35">
            <v>1252</v>
          </cell>
          <cell r="BQ35">
            <v>1737</v>
          </cell>
          <cell r="BR35">
            <v>6275</v>
          </cell>
          <cell r="BS35">
            <v>1592</v>
          </cell>
          <cell r="BT35">
            <v>5927</v>
          </cell>
          <cell r="BU35">
            <v>687</v>
          </cell>
          <cell r="BV35">
            <v>3733</v>
          </cell>
          <cell r="BW35">
            <v>2047</v>
          </cell>
          <cell r="BX35">
            <v>30676</v>
          </cell>
          <cell r="BY35">
            <v>640</v>
          </cell>
          <cell r="BZ35">
            <v>965</v>
          </cell>
          <cell r="CA35">
            <v>942</v>
          </cell>
          <cell r="CB35">
            <v>1314</v>
          </cell>
          <cell r="CC35">
            <v>6919</v>
          </cell>
          <cell r="CD35">
            <v>850</v>
          </cell>
          <cell r="CE35">
            <v>66000</v>
          </cell>
          <cell r="CF35">
            <v>15182</v>
          </cell>
          <cell r="CG35">
            <v>1407</v>
          </cell>
          <cell r="CH35">
            <v>8942</v>
          </cell>
          <cell r="CI35">
            <v>2024</v>
          </cell>
          <cell r="CJ35">
            <v>667</v>
          </cell>
          <cell r="CK35">
            <v>452</v>
          </cell>
          <cell r="CL35">
            <v>0</v>
          </cell>
          <cell r="CM35">
            <v>2987</v>
          </cell>
          <cell r="CN35">
            <v>5152</v>
          </cell>
          <cell r="CO35">
            <v>1626</v>
          </cell>
        </row>
        <row r="36">
          <cell r="A36" t="str">
            <v>Utility average load factor</v>
          </cell>
          <cell r="B36" t="str">
            <v>LF</v>
          </cell>
          <cell r="C36">
            <v>2006</v>
          </cell>
          <cell r="D36">
            <v>79</v>
          </cell>
          <cell r="E36">
            <v>65</v>
          </cell>
          <cell r="F36">
            <v>77</v>
          </cell>
          <cell r="G36">
            <v>65</v>
          </cell>
          <cell r="H36">
            <v>85</v>
          </cell>
          <cell r="I36">
            <v>70</v>
          </cell>
          <cell r="J36">
            <v>75</v>
          </cell>
          <cell r="K36">
            <v>72</v>
          </cell>
          <cell r="L36">
            <v>71</v>
          </cell>
          <cell r="M36">
            <v>71</v>
          </cell>
          <cell r="N36">
            <v>74</v>
          </cell>
          <cell r="O36">
            <v>74</v>
          </cell>
          <cell r="P36">
            <v>66</v>
          </cell>
          <cell r="Q36">
            <v>63</v>
          </cell>
          <cell r="R36">
            <v>0</v>
          </cell>
          <cell r="S36">
            <v>0</v>
          </cell>
          <cell r="T36">
            <v>53</v>
          </cell>
          <cell r="U36">
            <v>71</v>
          </cell>
          <cell r="V36">
            <v>73</v>
          </cell>
          <cell r="W36">
            <v>74</v>
          </cell>
          <cell r="X36">
            <v>71</v>
          </cell>
          <cell r="Y36">
            <v>67</v>
          </cell>
          <cell r="Z36">
            <v>89</v>
          </cell>
          <cell r="AA36">
            <v>69</v>
          </cell>
          <cell r="AB36">
            <v>66</v>
          </cell>
          <cell r="AC36">
            <v>76</v>
          </cell>
          <cell r="AD36">
            <v>0</v>
          </cell>
          <cell r="AE36">
            <v>69</v>
          </cell>
          <cell r="AF36">
            <v>71</v>
          </cell>
          <cell r="AG36">
            <v>66</v>
          </cell>
          <cell r="AH36">
            <v>75</v>
          </cell>
          <cell r="AI36">
            <v>60</v>
          </cell>
          <cell r="AJ36">
            <v>0</v>
          </cell>
          <cell r="AK36">
            <v>71</v>
          </cell>
          <cell r="AL36">
            <v>74</v>
          </cell>
          <cell r="AM36">
            <v>70</v>
          </cell>
          <cell r="AN36">
            <v>71</v>
          </cell>
          <cell r="AO36">
            <v>73</v>
          </cell>
          <cell r="AP36">
            <v>0</v>
          </cell>
          <cell r="AQ36">
            <v>78</v>
          </cell>
          <cell r="AR36">
            <v>68</v>
          </cell>
          <cell r="AS36">
            <v>722</v>
          </cell>
          <cell r="AT36">
            <v>54</v>
          </cell>
          <cell r="AU36">
            <v>73</v>
          </cell>
          <cell r="AV36">
            <v>75</v>
          </cell>
          <cell r="AW36">
            <v>72</v>
          </cell>
          <cell r="AX36">
            <v>75</v>
          </cell>
          <cell r="AY36">
            <v>72</v>
          </cell>
          <cell r="AZ36">
            <v>72</v>
          </cell>
          <cell r="BA36">
            <v>0</v>
          </cell>
          <cell r="BB36">
            <v>72</v>
          </cell>
          <cell r="BC36">
            <v>72</v>
          </cell>
          <cell r="BD36">
            <v>0</v>
          </cell>
          <cell r="BE36">
            <v>0</v>
          </cell>
          <cell r="BF36">
            <v>68</v>
          </cell>
          <cell r="BG36">
            <v>69</v>
          </cell>
          <cell r="BH36">
            <v>0</v>
          </cell>
          <cell r="BI36">
            <v>73</v>
          </cell>
          <cell r="BJ36">
            <v>0</v>
          </cell>
          <cell r="BK36">
            <v>69</v>
          </cell>
          <cell r="BL36">
            <v>0</v>
          </cell>
          <cell r="BM36">
            <v>75</v>
          </cell>
          <cell r="BN36">
            <v>72</v>
          </cell>
          <cell r="BO36">
            <v>69</v>
          </cell>
          <cell r="BP36">
            <v>70</v>
          </cell>
          <cell r="BQ36">
            <v>75</v>
          </cell>
          <cell r="BR36">
            <v>59</v>
          </cell>
          <cell r="BS36">
            <v>59</v>
          </cell>
          <cell r="BT36">
            <v>76</v>
          </cell>
          <cell r="BU36">
            <v>70</v>
          </cell>
          <cell r="BV36">
            <v>70</v>
          </cell>
          <cell r="BW36">
            <v>68</v>
          </cell>
          <cell r="BX36">
            <v>69</v>
          </cell>
          <cell r="BY36">
            <v>70</v>
          </cell>
          <cell r="BZ36">
            <v>0</v>
          </cell>
          <cell r="CA36">
            <v>8</v>
          </cell>
          <cell r="CB36">
            <v>56</v>
          </cell>
          <cell r="CC36">
            <v>75</v>
          </cell>
          <cell r="CD36">
            <v>70</v>
          </cell>
          <cell r="CE36">
            <v>74</v>
          </cell>
          <cell r="CF36">
            <v>72</v>
          </cell>
          <cell r="CG36">
            <v>66</v>
          </cell>
          <cell r="CH36">
            <v>71</v>
          </cell>
          <cell r="CI36">
            <v>66</v>
          </cell>
          <cell r="CJ36">
            <v>87</v>
          </cell>
          <cell r="CK36">
            <v>76</v>
          </cell>
          <cell r="CL36">
            <v>70</v>
          </cell>
          <cell r="CM36">
            <v>71</v>
          </cell>
          <cell r="CN36">
            <v>70</v>
          </cell>
          <cell r="CO36">
            <v>70</v>
          </cell>
        </row>
      </sheetData>
      <sheetData sheetId="7" refreshError="1">
        <row r="1">
          <cell r="A1" t="str">
            <v>Distributor Data for Year ended Dec 31st, 2007</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Plant Additions</v>
          </cell>
          <cell r="B6" t="str">
            <v>PADD</v>
          </cell>
          <cell r="C6">
            <v>2007</v>
          </cell>
          <cell r="D6">
            <v>145894</v>
          </cell>
          <cell r="E6">
            <v>18475847</v>
          </cell>
          <cell r="F6">
            <v>4858829</v>
          </cell>
          <cell r="G6">
            <v>1357802</v>
          </cell>
          <cell r="H6">
            <v>6684595</v>
          </cell>
          <cell r="I6">
            <v>10241921.640000001</v>
          </cell>
          <cell r="J6">
            <v>2266008.46</v>
          </cell>
          <cell r="K6">
            <v>10013176</v>
          </cell>
          <cell r="L6">
            <v>4403920.82</v>
          </cell>
          <cell r="M6">
            <v>510940.98</v>
          </cell>
          <cell r="N6" t="str">
            <v>NULL</v>
          </cell>
          <cell r="O6">
            <v>6382676</v>
          </cell>
          <cell r="P6">
            <v>74469.919999999998</v>
          </cell>
          <cell r="Q6">
            <v>74996</v>
          </cell>
          <cell r="R6">
            <v>0</v>
          </cell>
          <cell r="S6">
            <v>1599540.41</v>
          </cell>
          <cell r="T6">
            <v>10310307</v>
          </cell>
          <cell r="U6">
            <v>1195735.1100000001</v>
          </cell>
          <cell r="V6">
            <v>46620200</v>
          </cell>
          <cell r="W6">
            <v>2099801.9</v>
          </cell>
          <cell r="X6">
            <v>186279.98</v>
          </cell>
          <cell r="Y6">
            <v>3713144</v>
          </cell>
          <cell r="Z6">
            <v>3577541.39</v>
          </cell>
          <cell r="AA6">
            <v>146935.22</v>
          </cell>
          <cell r="AB6">
            <v>8003.85</v>
          </cell>
          <cell r="AC6">
            <v>8616845</v>
          </cell>
          <cell r="AD6">
            <v>6582362.9900000002</v>
          </cell>
          <cell r="AE6">
            <v>6395614.9900000002</v>
          </cell>
          <cell r="AF6">
            <v>186748</v>
          </cell>
          <cell r="AG6">
            <v>2024352.24</v>
          </cell>
          <cell r="AH6">
            <v>11331791</v>
          </cell>
          <cell r="AI6">
            <v>3309123.26</v>
          </cell>
          <cell r="AJ6">
            <v>3974253</v>
          </cell>
          <cell r="AK6">
            <v>51780.19</v>
          </cell>
          <cell r="AL6">
            <v>38502612</v>
          </cell>
          <cell r="AM6">
            <v>90093</v>
          </cell>
          <cell r="AN6">
            <v>67499</v>
          </cell>
          <cell r="AO6">
            <v>30881875</v>
          </cell>
          <cell r="AP6">
            <v>476000000</v>
          </cell>
          <cell r="AQ6">
            <v>68695675</v>
          </cell>
          <cell r="AR6">
            <v>2127841.9500000002</v>
          </cell>
          <cell r="AS6">
            <v>1154772.77</v>
          </cell>
          <cell r="AT6">
            <v>3083142</v>
          </cell>
          <cell r="AU6">
            <v>16669946.310000001</v>
          </cell>
          <cell r="AV6">
            <v>1144906</v>
          </cell>
          <cell r="AW6">
            <v>1618531.06</v>
          </cell>
          <cell r="AX6">
            <v>25018568</v>
          </cell>
          <cell r="AY6">
            <v>1206434</v>
          </cell>
          <cell r="AZ6">
            <v>1418741</v>
          </cell>
          <cell r="BA6">
            <v>5089157.9000000004</v>
          </cell>
          <cell r="BB6">
            <v>0</v>
          </cell>
          <cell r="BC6">
            <v>6579556.9100000001</v>
          </cell>
          <cell r="BD6">
            <v>17264150.18</v>
          </cell>
          <cell r="BE6">
            <v>6400097</v>
          </cell>
          <cell r="BF6">
            <v>10864053.18</v>
          </cell>
          <cell r="BG6">
            <v>1537606.63</v>
          </cell>
          <cell r="BH6">
            <v>6458620</v>
          </cell>
          <cell r="BI6">
            <v>2482228</v>
          </cell>
          <cell r="BJ6">
            <v>404175</v>
          </cell>
          <cell r="BK6">
            <v>16575734</v>
          </cell>
          <cell r="BL6">
            <v>1584588.35</v>
          </cell>
          <cell r="BM6">
            <v>1165487</v>
          </cell>
          <cell r="BN6">
            <v>8721855</v>
          </cell>
          <cell r="BO6">
            <v>834648.54</v>
          </cell>
          <cell r="BP6">
            <v>4062771</v>
          </cell>
          <cell r="BQ6">
            <v>183262.13</v>
          </cell>
          <cell r="BR6">
            <v>5388661</v>
          </cell>
          <cell r="BS6">
            <v>1249156.43</v>
          </cell>
          <cell r="BT6">
            <v>62680364.490000002</v>
          </cell>
          <cell r="BU6">
            <v>508785</v>
          </cell>
          <cell r="BV6">
            <v>226508</v>
          </cell>
          <cell r="BW6">
            <v>264762.34000000003</v>
          </cell>
          <cell r="BX6">
            <v>2687173.31</v>
          </cell>
          <cell r="BY6">
            <v>6018518</v>
          </cell>
          <cell r="BZ6">
            <v>941518</v>
          </cell>
          <cell r="CA6">
            <v>303620704</v>
          </cell>
          <cell r="CB6">
            <v>21166855</v>
          </cell>
          <cell r="CC6">
            <v>829493</v>
          </cell>
          <cell r="CD6">
            <v>11786246</v>
          </cell>
          <cell r="CE6">
            <v>3066554</v>
          </cell>
          <cell r="CF6">
            <v>451825.98</v>
          </cell>
          <cell r="CG6">
            <v>326034.11</v>
          </cell>
          <cell r="CH6">
            <v>118996</v>
          </cell>
          <cell r="CI6">
            <v>4870486</v>
          </cell>
          <cell r="CJ6">
            <v>6800505</v>
          </cell>
          <cell r="CK6">
            <v>2744960.73</v>
          </cell>
        </row>
        <row r="7">
          <cell r="A7" t="str">
            <v>OM&amp;A Expense</v>
          </cell>
          <cell r="B7" t="str">
            <v>COMA</v>
          </cell>
          <cell r="C7">
            <v>2007</v>
          </cell>
          <cell r="D7">
            <v>758525.87999999989</v>
          </cell>
          <cell r="E7">
            <v>7855243</v>
          </cell>
          <cell r="F7">
            <v>8824223.7599999998</v>
          </cell>
          <cell r="G7">
            <v>1466877.4800000002</v>
          </cell>
          <cell r="H7">
            <v>7436384.8600000003</v>
          </cell>
          <cell r="I7">
            <v>12009955.51</v>
          </cell>
          <cell r="J7">
            <v>3153880.7930000001</v>
          </cell>
          <cell r="K7">
            <v>8167899</v>
          </cell>
          <cell r="L7">
            <v>4821740.74</v>
          </cell>
          <cell r="M7">
            <v>1469359.52</v>
          </cell>
          <cell r="N7">
            <v>627183.65999999992</v>
          </cell>
          <cell r="O7">
            <v>5091690.13</v>
          </cell>
          <cell r="P7">
            <v>545155.30000000005</v>
          </cell>
          <cell r="Q7">
            <v>394002.13999999996</v>
          </cell>
          <cell r="R7">
            <v>0</v>
          </cell>
          <cell r="S7">
            <v>1912976.7900000003</v>
          </cell>
          <cell r="T7">
            <v>28474497</v>
          </cell>
          <cell r="U7">
            <v>1270598.68</v>
          </cell>
          <cell r="V7">
            <v>42974849</v>
          </cell>
          <cell r="W7">
            <v>4707641.2599999988</v>
          </cell>
          <cell r="X7">
            <v>957558.65</v>
          </cell>
          <cell r="Y7">
            <v>5519710.8100000005</v>
          </cell>
          <cell r="Z7">
            <v>3278321.61</v>
          </cell>
          <cell r="AA7">
            <v>1125424.8</v>
          </cell>
          <cell r="AB7">
            <v>212540.66</v>
          </cell>
          <cell r="AC7">
            <v>7994872.9500000002</v>
          </cell>
          <cell r="AD7">
            <v>15822779.51</v>
          </cell>
          <cell r="AE7">
            <v>15317942.770000001</v>
          </cell>
          <cell r="AF7">
            <v>504836.74</v>
          </cell>
          <cell r="AG7">
            <v>1617824.35</v>
          </cell>
          <cell r="AH7">
            <v>10097067.300000001</v>
          </cell>
          <cell r="AI7">
            <v>6960055.1199999992</v>
          </cell>
          <cell r="AJ7">
            <v>4201279</v>
          </cell>
          <cell r="AK7">
            <v>660439.75</v>
          </cell>
          <cell r="AL7">
            <v>35588531.25</v>
          </cell>
          <cell r="AM7">
            <v>222850.82</v>
          </cell>
          <cell r="AN7">
            <v>747047.32000000007</v>
          </cell>
          <cell r="AO7">
            <v>15244706.430000002</v>
          </cell>
          <cell r="AP7">
            <v>455698300</v>
          </cell>
          <cell r="AQ7">
            <v>39946348.140000008</v>
          </cell>
          <cell r="AR7">
            <v>3073406.952</v>
          </cell>
          <cell r="AS7">
            <v>1382162.2099999997</v>
          </cell>
          <cell r="AT7">
            <v>4432648.1900000004</v>
          </cell>
          <cell r="AU7">
            <v>11598176.51</v>
          </cell>
          <cell r="AV7">
            <v>1857935.4500000002</v>
          </cell>
          <cell r="AW7">
            <v>2040534.45</v>
          </cell>
          <cell r="AX7">
            <v>24376047.779999997</v>
          </cell>
          <cell r="AY7">
            <v>1409066.71</v>
          </cell>
          <cell r="AZ7">
            <v>1605920.5</v>
          </cell>
          <cell r="BA7">
            <v>4428987.2300000004</v>
          </cell>
          <cell r="BB7">
            <v>59531</v>
          </cell>
          <cell r="BC7">
            <v>5481285.5899999999</v>
          </cell>
          <cell r="BD7">
            <v>12991115.960000001</v>
          </cell>
          <cell r="BE7">
            <v>8480424.8200000003</v>
          </cell>
          <cell r="BF7">
            <v>4510691.1399999997</v>
          </cell>
          <cell r="BG7">
            <v>1710368.4999999998</v>
          </cell>
          <cell r="BH7">
            <v>4519969.2799999993</v>
          </cell>
          <cell r="BI7">
            <v>4889380.55</v>
          </cell>
          <cell r="BJ7">
            <v>1819344.75</v>
          </cell>
          <cell r="BK7">
            <v>10538759.42</v>
          </cell>
          <cell r="BL7">
            <v>1910331.4500000002</v>
          </cell>
          <cell r="BM7">
            <v>3413830.9900000007</v>
          </cell>
          <cell r="BN7">
            <v>8193467.25</v>
          </cell>
          <cell r="BO7">
            <v>2250222.09</v>
          </cell>
          <cell r="BP7">
            <v>7320286.0099999998</v>
          </cell>
          <cell r="BQ7">
            <v>1033627.8699999999</v>
          </cell>
          <cell r="BR7">
            <v>6295015.8799999999</v>
          </cell>
          <cell r="BS7">
            <v>4336856.83</v>
          </cell>
          <cell r="BT7">
            <v>38729427.93</v>
          </cell>
          <cell r="BU7">
            <v>940510.67999999993</v>
          </cell>
          <cell r="BV7">
            <v>1357185.7499999998</v>
          </cell>
          <cell r="BW7">
            <v>1025147.62</v>
          </cell>
          <cell r="BX7">
            <v>3226973.5</v>
          </cell>
          <cell r="BY7">
            <v>11589643.970000003</v>
          </cell>
          <cell r="BZ7">
            <v>1596156</v>
          </cell>
          <cell r="CA7">
            <v>150929700.86000001</v>
          </cell>
          <cell r="CB7">
            <v>16767239</v>
          </cell>
          <cell r="CC7">
            <v>1775073.9400000002</v>
          </cell>
          <cell r="CD7">
            <v>8388352.7199999997</v>
          </cell>
          <cell r="CE7">
            <v>4362293.74</v>
          </cell>
          <cell r="CF7">
            <v>992732.02</v>
          </cell>
          <cell r="CG7">
            <v>1180606</v>
          </cell>
          <cell r="CH7">
            <v>509011.22</v>
          </cell>
          <cell r="CI7">
            <v>3898263</v>
          </cell>
          <cell r="CJ7">
            <v>8066342.1200000001</v>
          </cell>
          <cell r="CK7">
            <v>3162828.45</v>
          </cell>
        </row>
        <row r="8">
          <cell r="A8" t="str">
            <v>Income Taxes</v>
          </cell>
          <cell r="B8" t="str">
            <v>CTAXINC</v>
          </cell>
          <cell r="C8">
            <v>2007</v>
          </cell>
          <cell r="D8">
            <v>2349</v>
          </cell>
          <cell r="E8">
            <v>5450000</v>
          </cell>
          <cell r="F8">
            <v>1309920.05</v>
          </cell>
          <cell r="G8">
            <v>730869</v>
          </cell>
          <cell r="H8">
            <v>975353</v>
          </cell>
          <cell r="I8">
            <v>2913085.11</v>
          </cell>
          <cell r="J8">
            <v>260037</v>
          </cell>
          <cell r="K8">
            <v>2816523</v>
          </cell>
          <cell r="L8">
            <v>220432.34</v>
          </cell>
          <cell r="M8">
            <v>451826.38</v>
          </cell>
          <cell r="N8">
            <v>0</v>
          </cell>
          <cell r="O8">
            <v>1572951</v>
          </cell>
          <cell r="P8">
            <v>579.79999999999995</v>
          </cell>
          <cell r="Q8">
            <v>39414</v>
          </cell>
          <cell r="R8">
            <v>0</v>
          </cell>
          <cell r="S8">
            <v>594125</v>
          </cell>
          <cell r="T8">
            <v>-4650300</v>
          </cell>
          <cell r="U8">
            <v>7181.47</v>
          </cell>
          <cell r="V8">
            <v>10580312</v>
          </cell>
          <cell r="W8">
            <v>355558</v>
          </cell>
          <cell r="X8">
            <v>0</v>
          </cell>
          <cell r="Y8">
            <v>906154</v>
          </cell>
          <cell r="Z8">
            <v>1358000</v>
          </cell>
          <cell r="AA8">
            <v>-12447</v>
          </cell>
          <cell r="AB8">
            <v>0</v>
          </cell>
          <cell r="AC8">
            <v>96587.26</v>
          </cell>
          <cell r="AD8">
            <v>353965</v>
          </cell>
          <cell r="AE8">
            <v>342712</v>
          </cell>
          <cell r="AF8">
            <v>11253</v>
          </cell>
          <cell r="AG8">
            <v>242851.58</v>
          </cell>
          <cell r="AH8">
            <v>4270764</v>
          </cell>
          <cell r="AI8">
            <v>873340</v>
          </cell>
          <cell r="AJ8">
            <v>553487</v>
          </cell>
          <cell r="AK8">
            <v>-29259</v>
          </cell>
          <cell r="AL8">
            <v>7878577.8100000005</v>
          </cell>
          <cell r="AM8">
            <v>-10211</v>
          </cell>
          <cell r="AN8">
            <v>94371</v>
          </cell>
          <cell r="AO8">
            <v>11800090</v>
          </cell>
          <cell r="AP8">
            <v>77393200</v>
          </cell>
          <cell r="AQ8">
            <v>13966599</v>
          </cell>
          <cell r="AR8">
            <v>348401.89</v>
          </cell>
          <cell r="AS8">
            <v>4653</v>
          </cell>
          <cell r="AT8">
            <v>1585378</v>
          </cell>
          <cell r="AU8">
            <v>3334422</v>
          </cell>
          <cell r="AV8">
            <v>288407</v>
          </cell>
          <cell r="AW8">
            <v>493269</v>
          </cell>
          <cell r="AX8">
            <v>5334000</v>
          </cell>
          <cell r="AY8">
            <v>487037</v>
          </cell>
          <cell r="AZ8">
            <v>587000</v>
          </cell>
          <cell r="BA8">
            <v>1214189.6000000001</v>
          </cell>
          <cell r="BB8">
            <v>0</v>
          </cell>
          <cell r="BC8">
            <v>2189397.1</v>
          </cell>
          <cell r="BD8">
            <v>4189894.34</v>
          </cell>
          <cell r="BE8">
            <v>1884978</v>
          </cell>
          <cell r="BF8">
            <v>2304916.34</v>
          </cell>
          <cell r="BG8">
            <v>211742</v>
          </cell>
          <cell r="BH8">
            <v>357823</v>
          </cell>
          <cell r="BI8">
            <v>1210746.44</v>
          </cell>
          <cell r="BJ8">
            <v>40972</v>
          </cell>
          <cell r="BK8">
            <v>5789968.2800000003</v>
          </cell>
          <cell r="BL8">
            <v>513187</v>
          </cell>
          <cell r="BM8">
            <v>477000</v>
          </cell>
          <cell r="BN8">
            <v>2281864.2599999998</v>
          </cell>
          <cell r="BO8">
            <v>75370</v>
          </cell>
          <cell r="BP8">
            <v>391000</v>
          </cell>
          <cell r="BQ8">
            <v>138155.16</v>
          </cell>
          <cell r="BR8">
            <v>1382741.7</v>
          </cell>
          <cell r="BS8">
            <v>-82789.41</v>
          </cell>
          <cell r="BT8">
            <v>14099762.34</v>
          </cell>
          <cell r="BU8">
            <v>48358</v>
          </cell>
          <cell r="BV8">
            <v>39826</v>
          </cell>
          <cell r="BW8">
            <v>28541</v>
          </cell>
          <cell r="BX8">
            <v>636248</v>
          </cell>
          <cell r="BY8">
            <v>610000</v>
          </cell>
          <cell r="BZ8">
            <v>187056</v>
          </cell>
          <cell r="CA8">
            <v>42395274</v>
          </cell>
          <cell r="CB8">
            <v>5399644</v>
          </cell>
          <cell r="CC8">
            <v>393483.97</v>
          </cell>
          <cell r="CD8">
            <v>2992778.36</v>
          </cell>
          <cell r="CE8">
            <v>683071.4</v>
          </cell>
          <cell r="CF8">
            <v>-8073</v>
          </cell>
          <cell r="CG8">
            <v>31050</v>
          </cell>
          <cell r="CH8">
            <v>0</v>
          </cell>
          <cell r="CI8">
            <v>541000</v>
          </cell>
          <cell r="CJ8">
            <v>3268636</v>
          </cell>
          <cell r="CK8">
            <v>572462.56000000006</v>
          </cell>
        </row>
        <row r="9">
          <cell r="A9" t="str">
            <v>Customers</v>
          </cell>
          <cell r="B9" t="str">
            <v>YN</v>
          </cell>
          <cell r="C9">
            <v>2007</v>
          </cell>
          <cell r="D9">
            <v>1711</v>
          </cell>
          <cell r="E9">
            <v>68535</v>
          </cell>
          <cell r="F9">
            <v>35906</v>
          </cell>
          <cell r="G9">
            <v>9339</v>
          </cell>
          <cell r="H9">
            <v>37108</v>
          </cell>
          <cell r="I9">
            <v>61776</v>
          </cell>
          <cell r="J9">
            <v>14325</v>
          </cell>
          <cell r="K9">
            <v>48944</v>
          </cell>
          <cell r="L9">
            <v>15494</v>
          </cell>
          <cell r="M9">
            <v>6239</v>
          </cell>
          <cell r="N9">
            <v>1338</v>
          </cell>
          <cell r="O9">
            <v>32007</v>
          </cell>
          <cell r="P9">
            <v>1639</v>
          </cell>
          <cell r="Q9">
            <v>1882</v>
          </cell>
          <cell r="R9">
            <v>0</v>
          </cell>
          <cell r="S9">
            <v>10719</v>
          </cell>
          <cell r="T9">
            <v>84757</v>
          </cell>
          <cell r="U9">
            <v>3552</v>
          </cell>
          <cell r="V9">
            <v>183715</v>
          </cell>
          <cell r="W9">
            <v>14181</v>
          </cell>
          <cell r="X9">
            <v>3316</v>
          </cell>
          <cell r="Y9">
            <v>27789</v>
          </cell>
          <cell r="Z9">
            <v>19262</v>
          </cell>
          <cell r="AA9">
            <v>3864</v>
          </cell>
          <cell r="AB9">
            <v>677</v>
          </cell>
          <cell r="AC9">
            <v>11522</v>
          </cell>
          <cell r="AD9">
            <v>46451</v>
          </cell>
          <cell r="AE9">
            <v>43167</v>
          </cell>
          <cell r="AF9">
            <v>3284</v>
          </cell>
          <cell r="AG9">
            <v>9792</v>
          </cell>
          <cell r="AH9">
            <v>47720</v>
          </cell>
          <cell r="AI9">
            <v>20698</v>
          </cell>
          <cell r="AJ9">
            <v>20078</v>
          </cell>
          <cell r="AK9">
            <v>2772</v>
          </cell>
          <cell r="AL9">
            <v>232493</v>
          </cell>
          <cell r="AM9">
            <v>1159</v>
          </cell>
          <cell r="AN9">
            <v>5428</v>
          </cell>
          <cell r="AO9">
            <v>126026</v>
          </cell>
          <cell r="AP9">
            <v>1173360</v>
          </cell>
          <cell r="AQ9">
            <v>287006</v>
          </cell>
          <cell r="AR9">
            <v>14120</v>
          </cell>
          <cell r="AS9">
            <v>5642</v>
          </cell>
          <cell r="AT9">
            <v>26632</v>
          </cell>
          <cell r="AU9">
            <v>82599</v>
          </cell>
          <cell r="AV9">
            <v>9057</v>
          </cell>
          <cell r="AW9">
            <v>9135</v>
          </cell>
          <cell r="AX9">
            <v>142105</v>
          </cell>
          <cell r="AY9">
            <v>6957</v>
          </cell>
          <cell r="AZ9">
            <v>6709</v>
          </cell>
          <cell r="BA9">
            <v>22811</v>
          </cell>
          <cell r="BB9">
            <v>199</v>
          </cell>
          <cell r="BC9">
            <v>31193</v>
          </cell>
          <cell r="BD9">
            <v>50195</v>
          </cell>
          <cell r="BE9">
            <v>34704</v>
          </cell>
          <cell r="BF9">
            <v>15491</v>
          </cell>
          <cell r="BG9">
            <v>7778</v>
          </cell>
          <cell r="BH9">
            <v>18641</v>
          </cell>
          <cell r="BI9">
            <v>23642</v>
          </cell>
          <cell r="BJ9">
            <v>6112</v>
          </cell>
          <cell r="BK9">
            <v>59883</v>
          </cell>
          <cell r="BL9">
            <v>10134</v>
          </cell>
          <cell r="BM9">
            <v>12648</v>
          </cell>
          <cell r="BN9">
            <v>50980</v>
          </cell>
          <cell r="BO9">
            <v>10230</v>
          </cell>
          <cell r="BP9">
            <v>32512</v>
          </cell>
          <cell r="BQ9">
            <v>3365</v>
          </cell>
          <cell r="BR9">
            <v>34161</v>
          </cell>
          <cell r="BS9">
            <v>9159</v>
          </cell>
          <cell r="BT9">
            <v>236220</v>
          </cell>
          <cell r="BU9">
            <v>4149</v>
          </cell>
          <cell r="BV9">
            <v>5864</v>
          </cell>
          <cell r="BW9">
            <v>2754</v>
          </cell>
          <cell r="BX9">
            <v>15919</v>
          </cell>
          <cell r="BY9">
            <v>49421</v>
          </cell>
          <cell r="BZ9">
            <v>6571</v>
          </cell>
          <cell r="CA9">
            <v>679913</v>
          </cell>
          <cell r="CB9">
            <v>109225</v>
          </cell>
          <cell r="CC9">
            <v>11311</v>
          </cell>
          <cell r="CD9">
            <v>49558</v>
          </cell>
          <cell r="CE9">
            <v>21389</v>
          </cell>
          <cell r="CF9">
            <v>3486</v>
          </cell>
          <cell r="CG9">
            <v>3853</v>
          </cell>
          <cell r="CH9">
            <v>2034</v>
          </cell>
          <cell r="CI9">
            <v>21297</v>
          </cell>
          <cell r="CJ9">
            <v>38278</v>
          </cell>
          <cell r="CK9">
            <v>14441</v>
          </cell>
        </row>
        <row r="10">
          <cell r="A10" t="str">
            <v>Customers - Residential</v>
          </cell>
          <cell r="B10" t="str">
            <v>YNR</v>
          </cell>
          <cell r="C10">
            <v>2007</v>
          </cell>
          <cell r="D10">
            <v>1450</v>
          </cell>
          <cell r="E10">
            <v>61561</v>
          </cell>
          <cell r="F10">
            <v>31389</v>
          </cell>
          <cell r="G10">
            <v>7933</v>
          </cell>
          <cell r="H10">
            <v>33526</v>
          </cell>
          <cell r="I10">
            <v>55919</v>
          </cell>
          <cell r="J10">
            <v>12535</v>
          </cell>
          <cell r="K10">
            <v>43623</v>
          </cell>
          <cell r="L10">
            <v>14073</v>
          </cell>
          <cell r="M10">
            <v>5510</v>
          </cell>
          <cell r="N10">
            <v>1159</v>
          </cell>
          <cell r="O10">
            <v>28391</v>
          </cell>
          <cell r="P10">
            <v>1393</v>
          </cell>
          <cell r="Q10">
            <v>1689</v>
          </cell>
          <cell r="R10">
            <v>0</v>
          </cell>
          <cell r="S10">
            <v>9539</v>
          </cell>
          <cell r="T10">
            <v>76496</v>
          </cell>
          <cell r="U10">
            <v>3100</v>
          </cell>
          <cell r="V10">
            <v>162775</v>
          </cell>
          <cell r="W10">
            <v>12534</v>
          </cell>
          <cell r="X10">
            <v>2831</v>
          </cell>
          <cell r="Y10">
            <v>25579</v>
          </cell>
          <cell r="Z10">
            <v>17060</v>
          </cell>
          <cell r="AA10">
            <v>3380</v>
          </cell>
          <cell r="AB10">
            <v>592</v>
          </cell>
          <cell r="AC10">
            <v>10539</v>
          </cell>
          <cell r="AD10">
            <v>41775</v>
          </cell>
          <cell r="AE10">
            <v>38853</v>
          </cell>
          <cell r="AF10">
            <v>2922</v>
          </cell>
          <cell r="AG10">
            <v>8946</v>
          </cell>
          <cell r="AH10">
            <v>43369</v>
          </cell>
          <cell r="AI10">
            <v>18139</v>
          </cell>
          <cell r="AJ10">
            <v>18337</v>
          </cell>
          <cell r="AK10">
            <v>2330</v>
          </cell>
          <cell r="AL10">
            <v>210358</v>
          </cell>
          <cell r="AM10">
            <v>1001</v>
          </cell>
          <cell r="AN10">
            <v>4775</v>
          </cell>
          <cell r="AO10">
            <v>117024</v>
          </cell>
          <cell r="AP10">
            <v>1064172</v>
          </cell>
          <cell r="AQ10">
            <v>260359</v>
          </cell>
          <cell r="AR10">
            <v>13132</v>
          </cell>
          <cell r="AS10">
            <v>4840</v>
          </cell>
          <cell r="AT10">
            <v>22839</v>
          </cell>
          <cell r="AU10">
            <v>74392</v>
          </cell>
          <cell r="AV10">
            <v>7878</v>
          </cell>
          <cell r="AW10">
            <v>7457</v>
          </cell>
          <cell r="AX10">
            <v>128587</v>
          </cell>
          <cell r="AY10">
            <v>6176</v>
          </cell>
          <cell r="AZ10">
            <v>5865</v>
          </cell>
          <cell r="BA10">
            <v>20305</v>
          </cell>
          <cell r="BB10">
            <v>166</v>
          </cell>
          <cell r="BC10">
            <v>27862</v>
          </cell>
          <cell r="BD10">
            <v>44325</v>
          </cell>
          <cell r="BE10">
            <v>30622</v>
          </cell>
          <cell r="BF10">
            <v>13703</v>
          </cell>
          <cell r="BG10">
            <v>6424</v>
          </cell>
          <cell r="BH10">
            <v>16378</v>
          </cell>
          <cell r="BI10">
            <v>20726</v>
          </cell>
          <cell r="BJ10">
            <v>5249</v>
          </cell>
          <cell r="BK10">
            <v>53646</v>
          </cell>
          <cell r="BL10">
            <v>8995</v>
          </cell>
          <cell r="BM10">
            <v>11102</v>
          </cell>
          <cell r="BN10">
            <v>46679</v>
          </cell>
          <cell r="BO10">
            <v>8625</v>
          </cell>
          <cell r="BP10">
            <v>28723</v>
          </cell>
          <cell r="BQ10">
            <v>2696</v>
          </cell>
          <cell r="BR10">
            <v>30138</v>
          </cell>
          <cell r="BS10">
            <v>8131</v>
          </cell>
          <cell r="BT10">
            <v>207783</v>
          </cell>
          <cell r="BU10">
            <v>3559</v>
          </cell>
          <cell r="BV10">
            <v>4967</v>
          </cell>
          <cell r="BW10">
            <v>2310</v>
          </cell>
          <cell r="BX10">
            <v>14064</v>
          </cell>
          <cell r="BY10">
            <v>44460</v>
          </cell>
          <cell r="BZ10">
            <v>5844</v>
          </cell>
          <cell r="CA10">
            <v>601515</v>
          </cell>
          <cell r="CB10">
            <v>98952</v>
          </cell>
          <cell r="CC10">
            <v>10481</v>
          </cell>
          <cell r="CD10">
            <v>43750</v>
          </cell>
          <cell r="CE10">
            <v>19512</v>
          </cell>
          <cell r="CF10">
            <v>2978</v>
          </cell>
          <cell r="CG10">
            <v>3290</v>
          </cell>
          <cell r="CH10">
            <v>1762</v>
          </cell>
          <cell r="CI10">
            <v>18603</v>
          </cell>
          <cell r="CJ10">
            <v>35594</v>
          </cell>
          <cell r="CK10">
            <v>13036</v>
          </cell>
        </row>
        <row r="11">
          <cell r="A11" t="str">
            <v>Customers - Other</v>
          </cell>
          <cell r="B11" t="str">
            <v>YNO</v>
          </cell>
          <cell r="C11">
            <v>2007</v>
          </cell>
          <cell r="D11">
            <v>261</v>
          </cell>
          <cell r="E11">
            <v>6974</v>
          </cell>
          <cell r="F11">
            <v>4517</v>
          </cell>
          <cell r="G11">
            <v>1406</v>
          </cell>
          <cell r="H11">
            <v>3582</v>
          </cell>
          <cell r="I11">
            <v>5857</v>
          </cell>
          <cell r="J11">
            <v>1790</v>
          </cell>
          <cell r="K11">
            <v>5321</v>
          </cell>
          <cell r="L11">
            <v>1421</v>
          </cell>
          <cell r="M11">
            <v>729</v>
          </cell>
          <cell r="N11">
            <v>179</v>
          </cell>
          <cell r="O11">
            <v>3616</v>
          </cell>
          <cell r="P11">
            <v>246</v>
          </cell>
          <cell r="Q11">
            <v>193</v>
          </cell>
          <cell r="R11">
            <v>0</v>
          </cell>
          <cell r="S11">
            <v>1180</v>
          </cell>
          <cell r="T11">
            <v>8261</v>
          </cell>
          <cell r="U11">
            <v>452</v>
          </cell>
          <cell r="V11">
            <v>20940</v>
          </cell>
          <cell r="W11">
            <v>1647</v>
          </cell>
          <cell r="X11">
            <v>485</v>
          </cell>
          <cell r="Y11">
            <v>2210</v>
          </cell>
          <cell r="Z11">
            <v>2202</v>
          </cell>
          <cell r="AA11">
            <v>484</v>
          </cell>
          <cell r="AB11">
            <v>85</v>
          </cell>
          <cell r="AC11">
            <v>983</v>
          </cell>
          <cell r="AD11">
            <v>4676</v>
          </cell>
          <cell r="AE11">
            <v>4314</v>
          </cell>
          <cell r="AF11">
            <v>362</v>
          </cell>
          <cell r="AG11">
            <v>846</v>
          </cell>
          <cell r="AH11">
            <v>4351</v>
          </cell>
          <cell r="AI11">
            <v>2559</v>
          </cell>
          <cell r="AJ11">
            <v>1741</v>
          </cell>
          <cell r="AK11">
            <v>442</v>
          </cell>
          <cell r="AL11">
            <v>22135</v>
          </cell>
          <cell r="AM11">
            <v>158</v>
          </cell>
          <cell r="AN11">
            <v>653</v>
          </cell>
          <cell r="AO11">
            <v>9002</v>
          </cell>
          <cell r="AP11">
            <v>109188</v>
          </cell>
          <cell r="AQ11">
            <v>26647</v>
          </cell>
          <cell r="AR11">
            <v>988</v>
          </cell>
          <cell r="AS11">
            <v>802</v>
          </cell>
          <cell r="AT11">
            <v>3793</v>
          </cell>
          <cell r="AU11">
            <v>8207</v>
          </cell>
          <cell r="AV11">
            <v>1179</v>
          </cell>
          <cell r="AW11">
            <v>1678</v>
          </cell>
          <cell r="AX11">
            <v>13518</v>
          </cell>
          <cell r="AY11">
            <v>781</v>
          </cell>
          <cell r="AZ11">
            <v>844</v>
          </cell>
          <cell r="BA11">
            <v>2506</v>
          </cell>
          <cell r="BB11">
            <v>33</v>
          </cell>
          <cell r="BC11">
            <v>3331</v>
          </cell>
          <cell r="BD11">
            <v>5870</v>
          </cell>
          <cell r="BE11">
            <v>4082</v>
          </cell>
          <cell r="BF11">
            <v>1788</v>
          </cell>
          <cell r="BG11">
            <v>1354</v>
          </cell>
          <cell r="BH11">
            <v>2263</v>
          </cell>
          <cell r="BI11">
            <v>2916</v>
          </cell>
          <cell r="BJ11">
            <v>863</v>
          </cell>
          <cell r="BK11">
            <v>6237</v>
          </cell>
          <cell r="BL11">
            <v>1139</v>
          </cell>
          <cell r="BM11">
            <v>1546</v>
          </cell>
          <cell r="BN11">
            <v>4301</v>
          </cell>
          <cell r="BO11">
            <v>1605</v>
          </cell>
          <cell r="BP11">
            <v>3789</v>
          </cell>
          <cell r="BQ11">
            <v>669</v>
          </cell>
          <cell r="BR11">
            <v>4023</v>
          </cell>
          <cell r="BS11">
            <v>1028</v>
          </cell>
          <cell r="BT11">
            <v>28437</v>
          </cell>
          <cell r="BU11">
            <v>590</v>
          </cell>
          <cell r="BV11">
            <v>897</v>
          </cell>
          <cell r="BW11">
            <v>444</v>
          </cell>
          <cell r="BX11">
            <v>1855</v>
          </cell>
          <cell r="BY11">
            <v>4961</v>
          </cell>
          <cell r="BZ11">
            <v>727</v>
          </cell>
          <cell r="CA11">
            <v>78398</v>
          </cell>
          <cell r="CB11">
            <v>10273</v>
          </cell>
          <cell r="CC11">
            <v>830</v>
          </cell>
          <cell r="CD11">
            <v>5808</v>
          </cell>
          <cell r="CE11">
            <v>1877</v>
          </cell>
          <cell r="CF11">
            <v>508</v>
          </cell>
          <cell r="CG11">
            <v>563</v>
          </cell>
          <cell r="CH11">
            <v>272</v>
          </cell>
          <cell r="CI11">
            <v>2694</v>
          </cell>
          <cell r="CJ11">
            <v>2684</v>
          </cell>
          <cell r="CK11">
            <v>1405</v>
          </cell>
        </row>
        <row r="12">
          <cell r="A12" t="str">
            <v>kWh</v>
          </cell>
          <cell r="B12" t="str">
            <v>YV</v>
          </cell>
          <cell r="C12">
            <v>2007</v>
          </cell>
          <cell r="D12">
            <v>43492799</v>
          </cell>
          <cell r="E12">
            <v>1499547730</v>
          </cell>
          <cell r="F12">
            <v>1129981468</v>
          </cell>
          <cell r="G12">
            <v>290630141</v>
          </cell>
          <cell r="H12">
            <v>1048068374</v>
          </cell>
          <cell r="I12">
            <v>1776325233</v>
          </cell>
          <cell r="J12">
            <v>303322628</v>
          </cell>
          <cell r="K12">
            <v>1569666081</v>
          </cell>
          <cell r="L12">
            <v>297196133</v>
          </cell>
          <cell r="M12">
            <v>159753692</v>
          </cell>
          <cell r="N12">
            <v>28525074</v>
          </cell>
          <cell r="O12">
            <v>844556148</v>
          </cell>
          <cell r="P12">
            <v>30952474</v>
          </cell>
          <cell r="Q12">
            <v>29064175</v>
          </cell>
          <cell r="R12">
            <v>0</v>
          </cell>
          <cell r="S12">
            <v>257449809</v>
          </cell>
          <cell r="T12">
            <v>2586778728</v>
          </cell>
          <cell r="U12">
            <v>66086052</v>
          </cell>
          <cell r="V12">
            <v>8278380806</v>
          </cell>
          <cell r="W12">
            <v>411340495</v>
          </cell>
          <cell r="X12">
            <v>63704669</v>
          </cell>
          <cell r="Y12">
            <v>566514632</v>
          </cell>
          <cell r="Z12">
            <v>615535178</v>
          </cell>
          <cell r="AA12">
            <v>83900561</v>
          </cell>
          <cell r="AB12">
            <v>9456588</v>
          </cell>
          <cell r="AC12">
            <v>203057354.90000004</v>
          </cell>
          <cell r="AD12">
            <v>958691850.28999996</v>
          </cell>
          <cell r="AE12">
            <v>900265885</v>
          </cell>
          <cell r="AF12">
            <v>58425965.290000007</v>
          </cell>
          <cell r="AG12">
            <v>176884016</v>
          </cell>
          <cell r="AH12">
            <v>1637140161.6499999</v>
          </cell>
          <cell r="AI12">
            <v>360337098</v>
          </cell>
          <cell r="AJ12">
            <v>523095983.71999997</v>
          </cell>
          <cell r="AK12">
            <v>111646717</v>
          </cell>
          <cell r="AL12">
            <v>6282229664.5300007</v>
          </cell>
          <cell r="AM12">
            <v>25247492</v>
          </cell>
          <cell r="AN12">
            <v>202779963</v>
          </cell>
          <cell r="AO12">
            <v>3967000000</v>
          </cell>
          <cell r="AP12">
            <v>23063283000</v>
          </cell>
          <cell r="AQ12">
            <v>7529898388</v>
          </cell>
          <cell r="AR12">
            <v>230401436</v>
          </cell>
          <cell r="AS12">
            <v>111276421</v>
          </cell>
          <cell r="AT12">
            <v>723094046</v>
          </cell>
          <cell r="AU12">
            <v>1988501760</v>
          </cell>
          <cell r="AV12">
            <v>292657767</v>
          </cell>
          <cell r="AW12">
            <v>215649405.04000002</v>
          </cell>
          <cell r="AX12">
            <v>3387777809</v>
          </cell>
          <cell r="AY12">
            <v>198623692.04999998</v>
          </cell>
          <cell r="AZ12">
            <v>224566925</v>
          </cell>
          <cell r="BA12">
            <v>694256898</v>
          </cell>
          <cell r="BB12">
            <v>1080416</v>
          </cell>
          <cell r="BC12">
            <v>367784844</v>
          </cell>
          <cell r="BD12">
            <v>1285146851</v>
          </cell>
          <cell r="BE12">
            <v>935188461</v>
          </cell>
          <cell r="BF12">
            <v>349958390</v>
          </cell>
          <cell r="BG12">
            <v>179610430</v>
          </cell>
          <cell r="BH12">
            <v>382902025</v>
          </cell>
          <cell r="BI12">
            <v>570440204</v>
          </cell>
          <cell r="BJ12">
            <v>132769913</v>
          </cell>
          <cell r="BK12">
            <v>1619548481</v>
          </cell>
          <cell r="BL12">
            <v>247266985</v>
          </cell>
          <cell r="BM12">
            <v>321106485</v>
          </cell>
          <cell r="BN12">
            <v>1191135111</v>
          </cell>
          <cell r="BO12">
            <v>163417590</v>
          </cell>
          <cell r="BP12">
            <v>701800772</v>
          </cell>
          <cell r="BQ12">
            <v>89725494.760000005</v>
          </cell>
          <cell r="BR12">
            <v>820201487</v>
          </cell>
          <cell r="BS12">
            <v>192719074</v>
          </cell>
          <cell r="BT12">
            <v>6832453515</v>
          </cell>
          <cell r="BU12">
            <v>99235605</v>
          </cell>
          <cell r="BV12">
            <v>113998664</v>
          </cell>
          <cell r="BW12">
            <v>90679122</v>
          </cell>
          <cell r="BX12">
            <v>366885092</v>
          </cell>
          <cell r="BY12">
            <v>1024516481</v>
          </cell>
          <cell r="BZ12">
            <v>238023374.63999999</v>
          </cell>
          <cell r="CA12">
            <v>25759823917</v>
          </cell>
          <cell r="CB12">
            <v>2547644309</v>
          </cell>
          <cell r="CC12">
            <v>115252110</v>
          </cell>
          <cell r="CD12">
            <v>1367149467</v>
          </cell>
          <cell r="CE12">
            <v>469099636</v>
          </cell>
          <cell r="CF12">
            <v>95199648.200000003</v>
          </cell>
          <cell r="CG12">
            <v>145743157.84</v>
          </cell>
          <cell r="CH12">
            <v>61945677</v>
          </cell>
          <cell r="CI12">
            <v>464427615.86000001</v>
          </cell>
          <cell r="CJ12">
            <v>868602748</v>
          </cell>
          <cell r="CK12">
            <v>394794950</v>
          </cell>
        </row>
        <row r="13">
          <cell r="A13" t="str">
            <v>kWh - Residential</v>
          </cell>
          <cell r="B13" t="str">
            <v>YVR</v>
          </cell>
          <cell r="C13">
            <v>2007</v>
          </cell>
          <cell r="D13">
            <v>11858778</v>
          </cell>
          <cell r="E13">
            <v>548016272</v>
          </cell>
          <cell r="F13">
            <v>264836003</v>
          </cell>
          <cell r="G13">
            <v>81004255</v>
          </cell>
          <cell r="H13">
            <v>298531289</v>
          </cell>
          <cell r="I13">
            <v>567063035</v>
          </cell>
          <cell r="J13">
            <v>113589579</v>
          </cell>
          <cell r="K13">
            <v>395062443</v>
          </cell>
          <cell r="L13">
            <v>114221401</v>
          </cell>
          <cell r="M13">
            <v>46699194</v>
          </cell>
          <cell r="N13">
            <v>15018918</v>
          </cell>
          <cell r="O13">
            <v>236072777</v>
          </cell>
          <cell r="P13">
            <v>12522951</v>
          </cell>
          <cell r="Q13">
            <v>19386628</v>
          </cell>
          <cell r="R13">
            <v>0</v>
          </cell>
          <cell r="S13">
            <v>94171770</v>
          </cell>
          <cell r="T13">
            <v>664998752</v>
          </cell>
          <cell r="U13">
            <v>29640947</v>
          </cell>
          <cell r="V13">
            <v>1632816129</v>
          </cell>
          <cell r="W13">
            <v>116256740</v>
          </cell>
          <cell r="X13">
            <v>32040530</v>
          </cell>
          <cell r="Y13">
            <v>280966066</v>
          </cell>
          <cell r="Z13">
            <v>143658315</v>
          </cell>
          <cell r="AA13">
            <v>39011690</v>
          </cell>
          <cell r="AB13">
            <v>5786652</v>
          </cell>
          <cell r="AC13">
            <v>92360867.400000006</v>
          </cell>
          <cell r="AD13">
            <v>405736204.25999999</v>
          </cell>
          <cell r="AE13">
            <v>376970987</v>
          </cell>
          <cell r="AF13">
            <v>28765217.260000002</v>
          </cell>
          <cell r="AG13">
            <v>86770666</v>
          </cell>
          <cell r="AH13">
            <v>358331164.06</v>
          </cell>
          <cell r="AI13">
            <v>173795327</v>
          </cell>
          <cell r="AJ13">
            <v>208287499</v>
          </cell>
          <cell r="AK13">
            <v>28317089</v>
          </cell>
          <cell r="AL13">
            <v>1666789557.1199999</v>
          </cell>
          <cell r="AM13">
            <v>15036848</v>
          </cell>
          <cell r="AN13">
            <v>56403314</v>
          </cell>
          <cell r="AO13">
            <v>1141600000</v>
          </cell>
          <cell r="AP13">
            <v>12620681000</v>
          </cell>
          <cell r="AQ13">
            <v>2234039085</v>
          </cell>
          <cell r="AR13">
            <v>156705342</v>
          </cell>
          <cell r="AS13">
            <v>39142088</v>
          </cell>
          <cell r="AT13">
            <v>221960966</v>
          </cell>
          <cell r="AU13">
            <v>660550766</v>
          </cell>
          <cell r="AV13">
            <v>74685958</v>
          </cell>
          <cell r="AW13">
            <v>78209625.069999993</v>
          </cell>
          <cell r="AX13">
            <v>1117283048</v>
          </cell>
          <cell r="AY13">
            <v>57541659</v>
          </cell>
          <cell r="AZ13">
            <v>47886438</v>
          </cell>
          <cell r="BA13">
            <v>218633202</v>
          </cell>
          <cell r="BB13">
            <v>463355</v>
          </cell>
          <cell r="BC13">
            <v>270904453</v>
          </cell>
          <cell r="BD13">
            <v>423910347</v>
          </cell>
          <cell r="BE13">
            <v>272359244</v>
          </cell>
          <cell r="BF13">
            <v>151551103</v>
          </cell>
          <cell r="BG13">
            <v>65561722</v>
          </cell>
          <cell r="BH13">
            <v>142543771</v>
          </cell>
          <cell r="BI13">
            <v>213131701</v>
          </cell>
          <cell r="BJ13">
            <v>43226412</v>
          </cell>
          <cell r="BK13">
            <v>592214968</v>
          </cell>
          <cell r="BL13">
            <v>80135717</v>
          </cell>
          <cell r="BM13">
            <v>109590116</v>
          </cell>
          <cell r="BN13">
            <v>495109283</v>
          </cell>
          <cell r="BO13">
            <v>75938194</v>
          </cell>
          <cell r="BP13">
            <v>338874337</v>
          </cell>
          <cell r="BQ13">
            <v>34279946.969999999</v>
          </cell>
          <cell r="BR13">
            <v>286683602</v>
          </cell>
          <cell r="BS13">
            <v>65276304</v>
          </cell>
          <cell r="BT13">
            <v>2039498572</v>
          </cell>
          <cell r="BU13">
            <v>31007901</v>
          </cell>
          <cell r="BV13">
            <v>45086486</v>
          </cell>
          <cell r="BW13">
            <v>32814076</v>
          </cell>
          <cell r="BX13">
            <v>119400889</v>
          </cell>
          <cell r="BY13">
            <v>344508404</v>
          </cell>
          <cell r="BZ13">
            <v>52893412</v>
          </cell>
          <cell r="CA13">
            <v>5332356184</v>
          </cell>
          <cell r="CB13">
            <v>960984164</v>
          </cell>
          <cell r="CC13">
            <v>78007343</v>
          </cell>
          <cell r="CD13">
            <v>405071611</v>
          </cell>
          <cell r="CE13">
            <v>162857785</v>
          </cell>
          <cell r="CF13">
            <v>25027983</v>
          </cell>
          <cell r="CG13">
            <v>26672783</v>
          </cell>
          <cell r="CH13">
            <v>15466784</v>
          </cell>
          <cell r="CI13">
            <v>213039032.09</v>
          </cell>
          <cell r="CJ13">
            <v>347926496</v>
          </cell>
          <cell r="CK13">
            <v>104412330</v>
          </cell>
        </row>
        <row r="14">
          <cell r="A14" t="str">
            <v>kWh - Other</v>
          </cell>
          <cell r="B14" t="str">
            <v>YVO</v>
          </cell>
          <cell r="C14">
            <v>2007</v>
          </cell>
          <cell r="D14">
            <v>31634021</v>
          </cell>
          <cell r="E14">
            <v>951531458</v>
          </cell>
          <cell r="F14">
            <v>865145465</v>
          </cell>
          <cell r="G14">
            <v>209625886</v>
          </cell>
          <cell r="H14">
            <v>749537085</v>
          </cell>
          <cell r="I14">
            <v>1209262198</v>
          </cell>
          <cell r="J14">
            <v>189733049</v>
          </cell>
          <cell r="K14">
            <v>1174603638</v>
          </cell>
          <cell r="L14">
            <v>182974732</v>
          </cell>
          <cell r="M14">
            <v>113054498</v>
          </cell>
          <cell r="N14">
            <v>13506156</v>
          </cell>
          <cell r="O14">
            <v>608483371</v>
          </cell>
          <cell r="P14">
            <v>18429523</v>
          </cell>
          <cell r="Q14">
            <v>9677547</v>
          </cell>
          <cell r="R14">
            <v>0</v>
          </cell>
          <cell r="S14">
            <v>163278039</v>
          </cell>
          <cell r="T14">
            <v>1921779976</v>
          </cell>
          <cell r="U14">
            <v>36445105</v>
          </cell>
          <cell r="V14">
            <v>6645564677</v>
          </cell>
          <cell r="W14">
            <v>295083755</v>
          </cell>
          <cell r="X14">
            <v>31664139</v>
          </cell>
          <cell r="Y14">
            <v>285548566</v>
          </cell>
          <cell r="Z14">
            <v>471876863</v>
          </cell>
          <cell r="AA14">
            <v>44888871</v>
          </cell>
          <cell r="AB14">
            <v>3669936</v>
          </cell>
          <cell r="AC14">
            <v>110696487.50000003</v>
          </cell>
          <cell r="AD14">
            <v>552955646.02999997</v>
          </cell>
          <cell r="AE14">
            <v>523294898</v>
          </cell>
          <cell r="AF14">
            <v>29660748.030000005</v>
          </cell>
          <cell r="AG14">
            <v>90113350</v>
          </cell>
          <cell r="AH14">
            <v>1278808997.5899999</v>
          </cell>
          <cell r="AI14">
            <v>186541771</v>
          </cell>
          <cell r="AJ14">
            <v>314808484.71999997</v>
          </cell>
          <cell r="AK14">
            <v>83329628</v>
          </cell>
          <cell r="AL14">
            <v>4615440107.4100008</v>
          </cell>
          <cell r="AM14">
            <v>10210644</v>
          </cell>
          <cell r="AN14">
            <v>146376649</v>
          </cell>
          <cell r="AO14">
            <v>2825400000</v>
          </cell>
          <cell r="AP14">
            <v>10442602000</v>
          </cell>
          <cell r="AQ14">
            <v>5295859303</v>
          </cell>
          <cell r="AR14">
            <v>73696094</v>
          </cell>
          <cell r="AS14">
            <v>72134333</v>
          </cell>
          <cell r="AT14">
            <v>501133080</v>
          </cell>
          <cell r="AU14">
            <v>1327950994</v>
          </cell>
          <cell r="AV14">
            <v>217971809</v>
          </cell>
          <cell r="AW14">
            <v>137439779.97000003</v>
          </cell>
          <cell r="AX14">
            <v>2270494761</v>
          </cell>
          <cell r="AY14">
            <v>141082033.04999998</v>
          </cell>
          <cell r="AZ14">
            <v>176680487</v>
          </cell>
          <cell r="BA14">
            <v>475623696</v>
          </cell>
          <cell r="BB14">
            <v>617061</v>
          </cell>
          <cell r="BC14">
            <v>96880391</v>
          </cell>
          <cell r="BD14">
            <v>861236504</v>
          </cell>
          <cell r="BE14">
            <v>662829217</v>
          </cell>
          <cell r="BF14">
            <v>198407287</v>
          </cell>
          <cell r="BG14">
            <v>114048708</v>
          </cell>
          <cell r="BH14">
            <v>240358254</v>
          </cell>
          <cell r="BI14">
            <v>357308503</v>
          </cell>
          <cell r="BJ14">
            <v>89543501</v>
          </cell>
          <cell r="BK14">
            <v>1027333513</v>
          </cell>
          <cell r="BL14">
            <v>167131268</v>
          </cell>
          <cell r="BM14">
            <v>211516369</v>
          </cell>
          <cell r="BN14">
            <v>696025828</v>
          </cell>
          <cell r="BO14">
            <v>87479396</v>
          </cell>
          <cell r="BP14">
            <v>362926435</v>
          </cell>
          <cell r="BQ14">
            <v>55445547.790000007</v>
          </cell>
          <cell r="BR14">
            <v>533517885</v>
          </cell>
          <cell r="BS14">
            <v>127442770</v>
          </cell>
          <cell r="BT14">
            <v>4792954943</v>
          </cell>
          <cell r="BU14">
            <v>68227704</v>
          </cell>
          <cell r="BV14">
            <v>68912178</v>
          </cell>
          <cell r="BW14">
            <v>57865046</v>
          </cell>
          <cell r="BX14">
            <v>247484203</v>
          </cell>
          <cell r="BY14">
            <v>680008077</v>
          </cell>
          <cell r="BZ14">
            <v>185129962.63999999</v>
          </cell>
          <cell r="CA14">
            <v>20427467733</v>
          </cell>
          <cell r="CB14">
            <v>1586660145</v>
          </cell>
          <cell r="CC14">
            <v>37244767</v>
          </cell>
          <cell r="CD14">
            <v>962077856</v>
          </cell>
          <cell r="CE14">
            <v>306241851</v>
          </cell>
          <cell r="CF14">
            <v>70171665.200000003</v>
          </cell>
          <cell r="CG14">
            <v>119070374.84</v>
          </cell>
          <cell r="CH14">
            <v>46478893</v>
          </cell>
          <cell r="CI14">
            <v>251388583.77000001</v>
          </cell>
          <cell r="CJ14">
            <v>520676252</v>
          </cell>
          <cell r="CK14">
            <v>290382620</v>
          </cell>
        </row>
        <row r="15">
          <cell r="A15" t="str">
            <v>kW</v>
          </cell>
          <cell r="B15" t="str">
            <v>YD</v>
          </cell>
          <cell r="C15">
            <v>2007</v>
          </cell>
          <cell r="D15">
            <v>51570</v>
          </cell>
          <cell r="E15">
            <v>1977209</v>
          </cell>
          <cell r="F15">
            <v>1540495</v>
          </cell>
          <cell r="G15">
            <v>317500</v>
          </cell>
          <cell r="H15">
            <v>1540864</v>
          </cell>
          <cell r="I15">
            <v>2545503</v>
          </cell>
          <cell r="J15">
            <v>347053</v>
          </cell>
          <cell r="K15">
            <v>2664667</v>
          </cell>
          <cell r="L15">
            <v>340633</v>
          </cell>
          <cell r="M15">
            <v>227350</v>
          </cell>
          <cell r="N15">
            <v>2608</v>
          </cell>
          <cell r="O15">
            <v>1311681</v>
          </cell>
          <cell r="P15">
            <v>43444</v>
          </cell>
          <cell r="Q15">
            <v>14672</v>
          </cell>
          <cell r="R15">
            <v>0</v>
          </cell>
          <cell r="S15">
            <v>224498</v>
          </cell>
          <cell r="T15">
            <v>3943379</v>
          </cell>
          <cell r="U15">
            <v>67780</v>
          </cell>
          <cell r="V15">
            <v>13744944</v>
          </cell>
          <cell r="W15">
            <v>648306</v>
          </cell>
          <cell r="X15">
            <v>39258</v>
          </cell>
          <cell r="Y15">
            <v>534496</v>
          </cell>
          <cell r="Z15">
            <v>1009610</v>
          </cell>
          <cell r="AA15">
            <v>67212</v>
          </cell>
          <cell r="AB15">
            <v>6658</v>
          </cell>
          <cell r="AC15">
            <v>193720</v>
          </cell>
          <cell r="AD15">
            <v>988960</v>
          </cell>
          <cell r="AE15">
            <v>943451</v>
          </cell>
          <cell r="AF15">
            <v>45509</v>
          </cell>
          <cell r="AG15">
            <v>170508</v>
          </cell>
          <cell r="AH15">
            <v>2529146</v>
          </cell>
          <cell r="AI15">
            <v>352531</v>
          </cell>
          <cell r="AJ15">
            <v>451700</v>
          </cell>
          <cell r="AK15">
            <v>172144</v>
          </cell>
          <cell r="AL15">
            <v>9340574</v>
          </cell>
          <cell r="AM15">
            <v>13509</v>
          </cell>
          <cell r="AN15">
            <v>293464</v>
          </cell>
          <cell r="AO15">
            <v>5862900</v>
          </cell>
          <cell r="AP15">
            <v>27927037</v>
          </cell>
          <cell r="AQ15">
            <v>10298333</v>
          </cell>
          <cell r="AR15">
            <v>128007</v>
          </cell>
          <cell r="AS15">
            <v>152822</v>
          </cell>
          <cell r="AT15">
            <v>1039292</v>
          </cell>
          <cell r="AU15">
            <v>2660528</v>
          </cell>
          <cell r="AV15">
            <v>394181</v>
          </cell>
          <cell r="AW15">
            <v>239453</v>
          </cell>
          <cell r="AX15">
            <v>4691176</v>
          </cell>
          <cell r="AY15">
            <v>310736</v>
          </cell>
          <cell r="AZ15">
            <v>358138</v>
          </cell>
          <cell r="BA15">
            <v>918398</v>
          </cell>
          <cell r="BB15">
            <v>606061</v>
          </cell>
          <cell r="BC15">
            <v>888889</v>
          </cell>
          <cell r="BD15">
            <v>1905472</v>
          </cell>
          <cell r="BE15">
            <v>1441079</v>
          </cell>
          <cell r="BF15">
            <v>464393</v>
          </cell>
          <cell r="BG15">
            <v>208442</v>
          </cell>
          <cell r="BH15">
            <v>376524</v>
          </cell>
          <cell r="BI15">
            <v>711142</v>
          </cell>
          <cell r="BJ15">
            <v>170050</v>
          </cell>
          <cell r="BK15">
            <v>2172613</v>
          </cell>
          <cell r="BL15">
            <v>312133</v>
          </cell>
          <cell r="BM15">
            <v>417528</v>
          </cell>
          <cell r="BN15">
            <v>1275852</v>
          </cell>
          <cell r="BO15">
            <v>220582</v>
          </cell>
          <cell r="BP15">
            <v>679337</v>
          </cell>
          <cell r="BQ15">
            <v>92912</v>
          </cell>
          <cell r="BR15">
            <v>978599</v>
          </cell>
          <cell r="BS15">
            <v>284461</v>
          </cell>
          <cell r="BT15">
            <v>10411416</v>
          </cell>
          <cell r="BU15">
            <v>149616</v>
          </cell>
          <cell r="BV15">
            <v>122413</v>
          </cell>
          <cell r="BW15">
            <v>107407</v>
          </cell>
          <cell r="BX15">
            <v>485637</v>
          </cell>
          <cell r="BY15">
            <v>1472236</v>
          </cell>
          <cell r="BZ15">
            <v>369492</v>
          </cell>
          <cell r="CA15">
            <v>43916014</v>
          </cell>
          <cell r="CB15">
            <v>2957199</v>
          </cell>
          <cell r="CC15">
            <v>27828</v>
          </cell>
          <cell r="CD15">
            <v>1844092</v>
          </cell>
          <cell r="CE15">
            <v>710596</v>
          </cell>
          <cell r="CF15">
            <v>154745</v>
          </cell>
          <cell r="CG15">
            <v>254058</v>
          </cell>
          <cell r="CH15">
            <v>101198</v>
          </cell>
          <cell r="CI15">
            <v>292116</v>
          </cell>
          <cell r="CJ15">
            <v>1029856</v>
          </cell>
          <cell r="CK15">
            <v>618033</v>
          </cell>
        </row>
        <row r="16">
          <cell r="A16" t="str">
            <v>kW - Residential</v>
          </cell>
          <cell r="B16" t="str">
            <v>YDR</v>
          </cell>
          <cell r="C16">
            <v>2007</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row>
        <row r="17">
          <cell r="A17" t="str">
            <v>kW - Other</v>
          </cell>
          <cell r="B17" t="str">
            <v>YDO</v>
          </cell>
          <cell r="C17">
            <v>2007</v>
          </cell>
          <cell r="D17">
            <v>51570</v>
          </cell>
          <cell r="E17">
            <v>1977209</v>
          </cell>
          <cell r="F17">
            <v>1540495</v>
          </cell>
          <cell r="G17">
            <v>317500</v>
          </cell>
          <cell r="H17">
            <v>1540864</v>
          </cell>
          <cell r="I17">
            <v>2545503</v>
          </cell>
          <cell r="J17">
            <v>347053</v>
          </cell>
          <cell r="K17">
            <v>2664667</v>
          </cell>
          <cell r="L17">
            <v>340633</v>
          </cell>
          <cell r="M17">
            <v>227350</v>
          </cell>
          <cell r="N17">
            <v>2608</v>
          </cell>
          <cell r="O17">
            <v>1311681</v>
          </cell>
          <cell r="P17">
            <v>43444</v>
          </cell>
          <cell r="Q17">
            <v>14672</v>
          </cell>
          <cell r="R17">
            <v>0</v>
          </cell>
          <cell r="S17">
            <v>224498</v>
          </cell>
          <cell r="T17">
            <v>3943379</v>
          </cell>
          <cell r="U17">
            <v>67780</v>
          </cell>
          <cell r="V17">
            <v>13744944</v>
          </cell>
          <cell r="W17">
            <v>648306</v>
          </cell>
          <cell r="X17">
            <v>39258</v>
          </cell>
          <cell r="Y17">
            <v>534496</v>
          </cell>
          <cell r="Z17">
            <v>1009610</v>
          </cell>
          <cell r="AA17">
            <v>67212</v>
          </cell>
          <cell r="AB17">
            <v>6658</v>
          </cell>
          <cell r="AC17">
            <v>193720</v>
          </cell>
          <cell r="AD17">
            <v>988960</v>
          </cell>
          <cell r="AE17">
            <v>943451</v>
          </cell>
          <cell r="AF17">
            <v>45509</v>
          </cell>
          <cell r="AG17">
            <v>170508</v>
          </cell>
          <cell r="AH17">
            <v>2529146</v>
          </cell>
          <cell r="AI17">
            <v>352531</v>
          </cell>
          <cell r="AJ17">
            <v>451700</v>
          </cell>
          <cell r="AK17">
            <v>172144</v>
          </cell>
          <cell r="AL17">
            <v>9340574</v>
          </cell>
          <cell r="AM17">
            <v>13509</v>
          </cell>
          <cell r="AN17">
            <v>293464</v>
          </cell>
          <cell r="AO17">
            <v>5862900</v>
          </cell>
          <cell r="AP17">
            <v>27927037</v>
          </cell>
          <cell r="AQ17">
            <v>10298333</v>
          </cell>
          <cell r="AR17">
            <v>128007</v>
          </cell>
          <cell r="AS17">
            <v>152822</v>
          </cell>
          <cell r="AT17">
            <v>1039292</v>
          </cell>
          <cell r="AU17">
            <v>2660528</v>
          </cell>
          <cell r="AV17">
            <v>394181</v>
          </cell>
          <cell r="AW17">
            <v>239453</v>
          </cell>
          <cell r="AX17">
            <v>4691176</v>
          </cell>
          <cell r="AY17">
            <v>310736</v>
          </cell>
          <cell r="AZ17">
            <v>358138</v>
          </cell>
          <cell r="BA17">
            <v>918398</v>
          </cell>
          <cell r="BB17">
            <v>606061</v>
          </cell>
          <cell r="BC17">
            <v>888889</v>
          </cell>
          <cell r="BD17">
            <v>1905472</v>
          </cell>
          <cell r="BE17">
            <v>1441079</v>
          </cell>
          <cell r="BF17">
            <v>464393</v>
          </cell>
          <cell r="BG17">
            <v>208442</v>
          </cell>
          <cell r="BH17">
            <v>376524</v>
          </cell>
          <cell r="BI17">
            <v>711142</v>
          </cell>
          <cell r="BJ17">
            <v>170050</v>
          </cell>
          <cell r="BK17">
            <v>2172613</v>
          </cell>
          <cell r="BL17">
            <v>312133</v>
          </cell>
          <cell r="BM17">
            <v>417528</v>
          </cell>
          <cell r="BN17">
            <v>1275852</v>
          </cell>
          <cell r="BO17">
            <v>220582</v>
          </cell>
          <cell r="BP17">
            <v>679337</v>
          </cell>
          <cell r="BQ17">
            <v>92912</v>
          </cell>
          <cell r="BR17">
            <v>978599</v>
          </cell>
          <cell r="BS17">
            <v>284461</v>
          </cell>
          <cell r="BT17">
            <v>10411416</v>
          </cell>
          <cell r="BU17">
            <v>149616</v>
          </cell>
          <cell r="BV17">
            <v>122413</v>
          </cell>
          <cell r="BW17">
            <v>107407</v>
          </cell>
          <cell r="BX17">
            <v>485637</v>
          </cell>
          <cell r="BY17">
            <v>1472236</v>
          </cell>
          <cell r="BZ17">
            <v>369492</v>
          </cell>
          <cell r="CA17">
            <v>43916014</v>
          </cell>
          <cell r="CB17">
            <v>2957199</v>
          </cell>
          <cell r="CC17">
            <v>27828</v>
          </cell>
          <cell r="CD17">
            <v>1844092</v>
          </cell>
          <cell r="CE17">
            <v>710596</v>
          </cell>
          <cell r="CF17">
            <v>154745</v>
          </cell>
          <cell r="CG17">
            <v>254058</v>
          </cell>
          <cell r="CH17">
            <v>101198</v>
          </cell>
          <cell r="CI17">
            <v>292116</v>
          </cell>
          <cell r="CJ17">
            <v>1029856</v>
          </cell>
          <cell r="CK17">
            <v>618033</v>
          </cell>
        </row>
        <row r="18">
          <cell r="A18" t="str">
            <v>Total service area</v>
          </cell>
          <cell r="B18" t="str">
            <v>AREA</v>
          </cell>
          <cell r="C18">
            <v>2007</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9</v>
          </cell>
          <cell r="AE18">
            <v>0</v>
          </cell>
          <cell r="AF18">
            <v>9</v>
          </cell>
          <cell r="AG18">
            <v>67</v>
          </cell>
          <cell r="AH18">
            <v>93</v>
          </cell>
          <cell r="AI18">
            <v>1252</v>
          </cell>
          <cell r="AJ18">
            <v>280</v>
          </cell>
          <cell r="AK18">
            <v>93</v>
          </cell>
          <cell r="AL18">
            <v>426</v>
          </cell>
          <cell r="AM18">
            <v>9</v>
          </cell>
          <cell r="AN18">
            <v>8</v>
          </cell>
          <cell r="AO18">
            <v>269</v>
          </cell>
          <cell r="AP18">
            <v>650000</v>
          </cell>
          <cell r="AQ18">
            <v>1104</v>
          </cell>
          <cell r="AR18">
            <v>292</v>
          </cell>
          <cell r="AS18">
            <v>24</v>
          </cell>
          <cell r="AT18">
            <v>32</v>
          </cell>
          <cell r="AU18">
            <v>404</v>
          </cell>
          <cell r="AV18">
            <v>27</v>
          </cell>
          <cell r="AW18">
            <v>144</v>
          </cell>
          <cell r="AX18">
            <v>421</v>
          </cell>
          <cell r="AY18">
            <v>21</v>
          </cell>
          <cell r="AZ18">
            <v>20</v>
          </cell>
          <cell r="BA18">
            <v>370</v>
          </cell>
          <cell r="BB18">
            <v>4</v>
          </cell>
          <cell r="BC18">
            <v>74</v>
          </cell>
          <cell r="BD18">
            <v>826</v>
          </cell>
          <cell r="BE18">
            <v>227</v>
          </cell>
          <cell r="BF18">
            <v>599</v>
          </cell>
          <cell r="BG18">
            <v>133</v>
          </cell>
          <cell r="BH18">
            <v>693</v>
          </cell>
          <cell r="BI18">
            <v>330</v>
          </cell>
          <cell r="BJ18">
            <v>28</v>
          </cell>
          <cell r="BK18">
            <v>143</v>
          </cell>
          <cell r="BL18">
            <v>16</v>
          </cell>
          <cell r="BM18">
            <v>27</v>
          </cell>
          <cell r="BN18">
            <v>149</v>
          </cell>
          <cell r="BO18">
            <v>35</v>
          </cell>
          <cell r="BP18">
            <v>342</v>
          </cell>
          <cell r="BQ18">
            <v>15</v>
          </cell>
          <cell r="BR18">
            <v>64</v>
          </cell>
          <cell r="BS18">
            <v>122</v>
          </cell>
          <cell r="BT18">
            <v>640</v>
          </cell>
          <cell r="BU18">
            <v>13</v>
          </cell>
          <cell r="BV18">
            <v>18</v>
          </cell>
          <cell r="BW18">
            <v>536</v>
          </cell>
          <cell r="BX18">
            <v>33</v>
          </cell>
          <cell r="BY18">
            <v>381</v>
          </cell>
          <cell r="BZ18">
            <v>24</v>
          </cell>
          <cell r="CA18">
            <v>630</v>
          </cell>
          <cell r="CB18">
            <v>639</v>
          </cell>
          <cell r="CC18">
            <v>61</v>
          </cell>
          <cell r="CD18">
            <v>672</v>
          </cell>
          <cell r="CE18">
            <v>86</v>
          </cell>
          <cell r="CF18">
            <v>14</v>
          </cell>
          <cell r="CG18">
            <v>8</v>
          </cell>
          <cell r="CH18">
            <v>6</v>
          </cell>
          <cell r="CI18">
            <v>49</v>
          </cell>
          <cell r="CJ18">
            <v>147</v>
          </cell>
          <cell r="CK18">
            <v>31</v>
          </cell>
        </row>
        <row r="19">
          <cell r="A19" t="str">
            <v>Urban service area</v>
          </cell>
          <cell r="B19" t="str">
            <v>AREAURB</v>
          </cell>
          <cell r="C19">
            <v>2007</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0</v>
          </cell>
          <cell r="AQ19">
            <v>454</v>
          </cell>
          <cell r="AR19">
            <v>62</v>
          </cell>
          <cell r="AS19">
            <v>24</v>
          </cell>
          <cell r="AT19">
            <v>32</v>
          </cell>
          <cell r="AU19">
            <v>124</v>
          </cell>
          <cell r="AV19">
            <v>27</v>
          </cell>
          <cell r="AW19">
            <v>16</v>
          </cell>
          <cell r="AX19">
            <v>163</v>
          </cell>
          <cell r="AY19">
            <v>5</v>
          </cell>
          <cell r="AZ19">
            <v>20</v>
          </cell>
          <cell r="BA19">
            <v>57</v>
          </cell>
          <cell r="BB19">
            <v>0</v>
          </cell>
          <cell r="BC19">
            <v>71</v>
          </cell>
          <cell r="BD19">
            <v>67</v>
          </cell>
          <cell r="BE19">
            <v>52</v>
          </cell>
          <cell r="BF19">
            <v>15</v>
          </cell>
          <cell r="BG19">
            <v>14</v>
          </cell>
          <cell r="BH19">
            <v>144</v>
          </cell>
          <cell r="BI19">
            <v>51</v>
          </cell>
          <cell r="BJ19">
            <v>28</v>
          </cell>
          <cell r="BK19">
            <v>102</v>
          </cell>
          <cell r="BL19">
            <v>16</v>
          </cell>
          <cell r="BM19">
            <v>27</v>
          </cell>
          <cell r="BN19">
            <v>71</v>
          </cell>
          <cell r="BO19">
            <v>35</v>
          </cell>
          <cell r="BP19">
            <v>58</v>
          </cell>
          <cell r="BQ19">
            <v>15</v>
          </cell>
          <cell r="BR19">
            <v>64</v>
          </cell>
          <cell r="BS19">
            <v>20</v>
          </cell>
          <cell r="BT19">
            <v>456</v>
          </cell>
          <cell r="BU19">
            <v>13</v>
          </cell>
          <cell r="BV19">
            <v>11</v>
          </cell>
          <cell r="BW19">
            <v>6</v>
          </cell>
          <cell r="BX19">
            <v>33</v>
          </cell>
          <cell r="BY19">
            <v>122</v>
          </cell>
          <cell r="BZ19">
            <v>21</v>
          </cell>
          <cell r="CA19">
            <v>630</v>
          </cell>
          <cell r="CB19">
            <v>253</v>
          </cell>
          <cell r="CC19">
            <v>53</v>
          </cell>
          <cell r="CD19">
            <v>65</v>
          </cell>
          <cell r="CE19">
            <v>86</v>
          </cell>
          <cell r="CF19">
            <v>14</v>
          </cell>
          <cell r="CG19">
            <v>8</v>
          </cell>
          <cell r="CH19">
            <v>6</v>
          </cell>
          <cell r="CI19">
            <v>49</v>
          </cell>
          <cell r="CJ19">
            <v>71</v>
          </cell>
          <cell r="CK19">
            <v>31</v>
          </cell>
        </row>
        <row r="20">
          <cell r="A20" t="str">
            <v>Rural service area</v>
          </cell>
          <cell r="B20" t="str">
            <v>AREARUR</v>
          </cell>
          <cell r="C20">
            <v>2007</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0</v>
          </cell>
          <cell r="AE20">
            <v>0</v>
          </cell>
          <cell r="AF20">
            <v>0</v>
          </cell>
          <cell r="AG20">
            <v>45</v>
          </cell>
          <cell r="AH20">
            <v>0</v>
          </cell>
          <cell r="AI20">
            <v>1216</v>
          </cell>
          <cell r="AJ20">
            <v>255</v>
          </cell>
          <cell r="AK20">
            <v>0</v>
          </cell>
          <cell r="AL20">
            <v>88</v>
          </cell>
          <cell r="AM20">
            <v>0</v>
          </cell>
          <cell r="AN20">
            <v>0</v>
          </cell>
          <cell r="AO20">
            <v>0</v>
          </cell>
          <cell r="AP20">
            <v>650000</v>
          </cell>
          <cell r="AQ20">
            <v>650</v>
          </cell>
          <cell r="AR20">
            <v>230</v>
          </cell>
          <cell r="AS20">
            <v>0</v>
          </cell>
          <cell r="AT20">
            <v>0</v>
          </cell>
          <cell r="AU20">
            <v>280</v>
          </cell>
          <cell r="AV20">
            <v>0</v>
          </cell>
          <cell r="AW20">
            <v>128</v>
          </cell>
          <cell r="AX20">
            <v>258</v>
          </cell>
          <cell r="AY20">
            <v>16</v>
          </cell>
          <cell r="AZ20">
            <v>0</v>
          </cell>
          <cell r="BA20">
            <v>313</v>
          </cell>
          <cell r="BB20">
            <v>4</v>
          </cell>
          <cell r="BC20">
            <v>3</v>
          </cell>
          <cell r="BD20">
            <v>759</v>
          </cell>
          <cell r="BE20">
            <v>175</v>
          </cell>
          <cell r="BF20">
            <v>584</v>
          </cell>
          <cell r="BG20">
            <v>119</v>
          </cell>
          <cell r="BH20">
            <v>549</v>
          </cell>
          <cell r="BI20">
            <v>279</v>
          </cell>
          <cell r="BJ20">
            <v>0</v>
          </cell>
          <cell r="BK20">
            <v>41</v>
          </cell>
          <cell r="BL20">
            <v>0</v>
          </cell>
          <cell r="BM20">
            <v>0</v>
          </cell>
          <cell r="BN20">
            <v>78</v>
          </cell>
          <cell r="BO20">
            <v>0</v>
          </cell>
          <cell r="BP20">
            <v>284</v>
          </cell>
          <cell r="BQ20">
            <v>0</v>
          </cell>
          <cell r="BR20">
            <v>0</v>
          </cell>
          <cell r="BS20">
            <v>102</v>
          </cell>
          <cell r="BT20">
            <v>184</v>
          </cell>
          <cell r="BU20">
            <v>0</v>
          </cell>
          <cell r="BV20">
            <v>7</v>
          </cell>
          <cell r="BW20">
            <v>530</v>
          </cell>
          <cell r="BX20">
            <v>0</v>
          </cell>
          <cell r="BY20">
            <v>259</v>
          </cell>
          <cell r="BZ20">
            <v>3</v>
          </cell>
          <cell r="CA20">
            <v>0</v>
          </cell>
          <cell r="CB20">
            <v>386</v>
          </cell>
          <cell r="CC20">
            <v>8</v>
          </cell>
          <cell r="CD20">
            <v>607</v>
          </cell>
          <cell r="CE20">
            <v>0</v>
          </cell>
          <cell r="CF20">
            <v>0</v>
          </cell>
          <cell r="CG20">
            <v>0</v>
          </cell>
          <cell r="CH20">
            <v>0</v>
          </cell>
          <cell r="CI20">
            <v>0</v>
          </cell>
          <cell r="CJ20">
            <v>76</v>
          </cell>
          <cell r="CK20">
            <v>0</v>
          </cell>
        </row>
        <row r="21">
          <cell r="A21" t="str">
            <v>Service area population</v>
          </cell>
          <cell r="B21" t="str">
            <v>POP</v>
          </cell>
          <cell r="C21">
            <v>2007</v>
          </cell>
          <cell r="D21">
            <v>3000</v>
          </cell>
          <cell r="E21">
            <v>181930</v>
          </cell>
          <cell r="F21">
            <v>84379</v>
          </cell>
          <cell r="G21">
            <v>25000</v>
          </cell>
          <cell r="H21">
            <v>91487</v>
          </cell>
          <cell r="I21">
            <v>170100</v>
          </cell>
          <cell r="J21">
            <v>23600</v>
          </cell>
          <cell r="K21">
            <v>133480</v>
          </cell>
          <cell r="L21">
            <v>29925</v>
          </cell>
          <cell r="M21">
            <v>18156</v>
          </cell>
          <cell r="N21">
            <v>2428</v>
          </cell>
          <cell r="O21">
            <v>94769</v>
          </cell>
          <cell r="P21">
            <v>3100</v>
          </cell>
          <cell r="Q21">
            <v>4000</v>
          </cell>
          <cell r="R21">
            <v>0</v>
          </cell>
          <cell r="S21">
            <v>21873</v>
          </cell>
          <cell r="T21">
            <v>215718</v>
          </cell>
          <cell r="U21">
            <v>6700</v>
          </cell>
          <cell r="V21">
            <v>704000</v>
          </cell>
          <cell r="W21">
            <v>32042</v>
          </cell>
          <cell r="X21">
            <v>7138</v>
          </cell>
          <cell r="Y21">
            <v>69300</v>
          </cell>
          <cell r="Z21">
            <v>44072</v>
          </cell>
          <cell r="AA21">
            <v>8315</v>
          </cell>
          <cell r="AB21">
            <v>1600</v>
          </cell>
          <cell r="AC21">
            <v>17195</v>
          </cell>
          <cell r="AD21">
            <v>109529</v>
          </cell>
          <cell r="AE21">
            <v>102811</v>
          </cell>
          <cell r="AF21">
            <v>6718</v>
          </cell>
          <cell r="AG21">
            <v>21500</v>
          </cell>
          <cell r="AH21">
            <v>130309</v>
          </cell>
          <cell r="AI21">
            <v>45212</v>
          </cell>
          <cell r="AJ21">
            <v>55289</v>
          </cell>
          <cell r="AK21">
            <v>5635</v>
          </cell>
          <cell r="AL21">
            <v>560668</v>
          </cell>
          <cell r="AM21">
            <v>2520</v>
          </cell>
          <cell r="AN21">
            <v>10500</v>
          </cell>
          <cell r="AO21">
            <v>444158</v>
          </cell>
          <cell r="AP21">
            <v>2892713</v>
          </cell>
          <cell r="AQ21">
            <v>799993</v>
          </cell>
          <cell r="AR21">
            <v>32007</v>
          </cell>
          <cell r="AS21">
            <v>12000</v>
          </cell>
          <cell r="AT21">
            <v>57800</v>
          </cell>
          <cell r="AU21">
            <v>236883</v>
          </cell>
          <cell r="AV21">
            <v>22000</v>
          </cell>
          <cell r="AW21">
            <v>21007</v>
          </cell>
          <cell r="AX21">
            <v>355000</v>
          </cell>
          <cell r="AY21">
            <v>6763</v>
          </cell>
          <cell r="AZ21">
            <v>16000</v>
          </cell>
          <cell r="BA21">
            <v>65000</v>
          </cell>
          <cell r="BB21">
            <v>0</v>
          </cell>
          <cell r="BC21">
            <v>89161</v>
          </cell>
          <cell r="BD21">
            <v>132361</v>
          </cell>
          <cell r="BE21">
            <v>82200</v>
          </cell>
          <cell r="BF21">
            <v>50161</v>
          </cell>
          <cell r="BG21">
            <v>14800</v>
          </cell>
          <cell r="BH21">
            <v>31500</v>
          </cell>
          <cell r="BI21">
            <v>55000</v>
          </cell>
          <cell r="BJ21">
            <v>14000</v>
          </cell>
          <cell r="BK21">
            <v>169800</v>
          </cell>
          <cell r="BL21">
            <v>28178</v>
          </cell>
          <cell r="BM21">
            <v>30300</v>
          </cell>
          <cell r="BN21">
            <v>155000</v>
          </cell>
          <cell r="BO21">
            <v>20200</v>
          </cell>
          <cell r="BP21">
            <v>77948</v>
          </cell>
          <cell r="BQ21">
            <v>6500</v>
          </cell>
          <cell r="BR21">
            <v>79496</v>
          </cell>
          <cell r="BS21">
            <v>18599</v>
          </cell>
          <cell r="BT21">
            <v>706000</v>
          </cell>
          <cell r="BU21">
            <v>7800</v>
          </cell>
          <cell r="BV21">
            <v>9900</v>
          </cell>
          <cell r="BW21">
            <v>5336</v>
          </cell>
          <cell r="BX21">
            <v>36000</v>
          </cell>
          <cell r="BY21">
            <v>109973</v>
          </cell>
          <cell r="BZ21">
            <v>15140</v>
          </cell>
          <cell r="CA21">
            <v>2503281</v>
          </cell>
          <cell r="CB21">
            <v>326064</v>
          </cell>
          <cell r="CC21">
            <v>17000</v>
          </cell>
          <cell r="CD21">
            <v>147360</v>
          </cell>
          <cell r="CE21">
            <v>50331</v>
          </cell>
          <cell r="CF21">
            <v>6989</v>
          </cell>
          <cell r="CG21">
            <v>7411</v>
          </cell>
          <cell r="CH21">
            <v>3900</v>
          </cell>
          <cell r="CI21">
            <v>40000</v>
          </cell>
          <cell r="CJ21">
            <v>110000</v>
          </cell>
          <cell r="CK21">
            <v>35000</v>
          </cell>
        </row>
        <row r="22">
          <cell r="A22" t="str">
            <v>Municipal population</v>
          </cell>
          <cell r="B22" t="str">
            <v>POPCITY</v>
          </cell>
          <cell r="C22">
            <v>2007</v>
          </cell>
          <cell r="D22">
            <v>3000</v>
          </cell>
          <cell r="E22">
            <v>197750</v>
          </cell>
          <cell r="F22">
            <v>86689</v>
          </cell>
          <cell r="G22">
            <v>30000</v>
          </cell>
          <cell r="H22">
            <v>91487</v>
          </cell>
          <cell r="I22">
            <v>170100</v>
          </cell>
          <cell r="J22">
            <v>23600</v>
          </cell>
          <cell r="K22">
            <v>133480</v>
          </cell>
          <cell r="L22">
            <v>29925</v>
          </cell>
          <cell r="M22">
            <v>26520</v>
          </cell>
          <cell r="N22">
            <v>2428</v>
          </cell>
          <cell r="O22">
            <v>107341</v>
          </cell>
          <cell r="P22">
            <v>3100</v>
          </cell>
          <cell r="Q22">
            <v>12500</v>
          </cell>
          <cell r="R22">
            <v>0</v>
          </cell>
          <cell r="S22">
            <v>74185</v>
          </cell>
          <cell r="T22">
            <v>216473</v>
          </cell>
          <cell r="U22">
            <v>5000</v>
          </cell>
          <cell r="V22">
            <v>704000</v>
          </cell>
          <cell r="W22">
            <v>35246</v>
          </cell>
          <cell r="X22">
            <v>8700</v>
          </cell>
          <cell r="Y22">
            <v>102075</v>
          </cell>
          <cell r="Z22">
            <v>44072</v>
          </cell>
          <cell r="AA22">
            <v>8315</v>
          </cell>
          <cell r="AB22">
            <v>2529</v>
          </cell>
          <cell r="AC22">
            <v>10104</v>
          </cell>
          <cell r="AD22">
            <v>170219</v>
          </cell>
          <cell r="AE22">
            <v>155219</v>
          </cell>
          <cell r="AF22">
            <v>15000</v>
          </cell>
          <cell r="AG22">
            <v>21500</v>
          </cell>
          <cell r="AH22">
            <v>130309</v>
          </cell>
          <cell r="AI22">
            <v>45212</v>
          </cell>
          <cell r="AJ22">
            <v>55289</v>
          </cell>
          <cell r="AK22">
            <v>5635</v>
          </cell>
          <cell r="AL22">
            <v>636548</v>
          </cell>
          <cell r="AM22">
            <v>9400</v>
          </cell>
          <cell r="AN22">
            <v>10500</v>
          </cell>
          <cell r="AO22">
            <v>444158</v>
          </cell>
          <cell r="AP22">
            <v>2892713</v>
          </cell>
          <cell r="AQ22">
            <v>888882</v>
          </cell>
          <cell r="AR22">
            <v>32007</v>
          </cell>
          <cell r="AS22">
            <v>16500</v>
          </cell>
          <cell r="AT22">
            <v>119000</v>
          </cell>
          <cell r="AU22">
            <v>236883</v>
          </cell>
          <cell r="AV22">
            <v>22000</v>
          </cell>
          <cell r="AW22">
            <v>34035</v>
          </cell>
          <cell r="AX22">
            <v>355000</v>
          </cell>
          <cell r="AY22">
            <v>18231</v>
          </cell>
          <cell r="AZ22">
            <v>17000</v>
          </cell>
          <cell r="BA22">
            <v>65000</v>
          </cell>
          <cell r="BB22">
            <v>439</v>
          </cell>
          <cell r="BC22">
            <v>113155</v>
          </cell>
          <cell r="BD22">
            <v>133244</v>
          </cell>
          <cell r="BE22">
            <v>82200</v>
          </cell>
          <cell r="BF22">
            <v>51044</v>
          </cell>
          <cell r="BG22">
            <v>14800</v>
          </cell>
          <cell r="BH22">
            <v>62000</v>
          </cell>
          <cell r="BI22">
            <v>55000</v>
          </cell>
          <cell r="BJ22">
            <v>18777</v>
          </cell>
          <cell r="BK22">
            <v>169800</v>
          </cell>
          <cell r="BL22">
            <v>28178</v>
          </cell>
          <cell r="BM22">
            <v>30300</v>
          </cell>
          <cell r="BN22">
            <v>155000</v>
          </cell>
          <cell r="BO22">
            <v>20200</v>
          </cell>
          <cell r="BP22">
            <v>74948</v>
          </cell>
          <cell r="BQ22">
            <v>6500</v>
          </cell>
          <cell r="BR22">
            <v>79496</v>
          </cell>
          <cell r="BS22">
            <v>18599</v>
          </cell>
          <cell r="BT22">
            <v>706000</v>
          </cell>
          <cell r="BU22">
            <v>7800</v>
          </cell>
          <cell r="BV22">
            <v>16700</v>
          </cell>
          <cell r="BW22">
            <v>5336</v>
          </cell>
          <cell r="BX22">
            <v>36000</v>
          </cell>
          <cell r="BY22">
            <v>109141</v>
          </cell>
          <cell r="BZ22">
            <v>15000</v>
          </cell>
          <cell r="CA22">
            <v>2503281</v>
          </cell>
          <cell r="CB22">
            <v>396107</v>
          </cell>
          <cell r="CC22">
            <v>17000</v>
          </cell>
          <cell r="CD22">
            <v>147360</v>
          </cell>
          <cell r="CE22">
            <v>50331</v>
          </cell>
          <cell r="CF22">
            <v>11500</v>
          </cell>
          <cell r="CG22">
            <v>7411</v>
          </cell>
          <cell r="CH22">
            <v>9000</v>
          </cell>
          <cell r="CI22">
            <v>78420</v>
          </cell>
          <cell r="CJ22">
            <v>110000</v>
          </cell>
          <cell r="CK22">
            <v>36000</v>
          </cell>
        </row>
        <row r="23">
          <cell r="A23" t="str">
            <v>No seasonal occupacy customers</v>
          </cell>
          <cell r="B23" t="str">
            <v>YNSUM</v>
          </cell>
          <cell r="C23">
            <v>2007</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154779</v>
          </cell>
          <cell r="AQ23">
            <v>0</v>
          </cell>
          <cell r="AR23">
            <v>753</v>
          </cell>
          <cell r="AS23">
            <v>0</v>
          </cell>
          <cell r="AT23">
            <v>0</v>
          </cell>
          <cell r="AU23">
            <v>0</v>
          </cell>
          <cell r="AV23">
            <v>0</v>
          </cell>
          <cell r="AW23">
            <v>150</v>
          </cell>
          <cell r="AX23">
            <v>0</v>
          </cell>
          <cell r="AY23">
            <v>0</v>
          </cell>
          <cell r="AZ23">
            <v>0</v>
          </cell>
          <cell r="BA23">
            <v>0</v>
          </cell>
          <cell r="BB23">
            <v>0</v>
          </cell>
          <cell r="BC23">
            <v>525</v>
          </cell>
          <cell r="BD23">
            <v>0</v>
          </cell>
          <cell r="BE23">
            <v>0</v>
          </cell>
          <cell r="BF23">
            <v>0</v>
          </cell>
          <cell r="BG23">
            <v>250</v>
          </cell>
          <cell r="BH23">
            <v>200</v>
          </cell>
          <cell r="BI23">
            <v>0</v>
          </cell>
          <cell r="BJ23">
            <v>0</v>
          </cell>
          <cell r="BK23">
            <v>0</v>
          </cell>
          <cell r="BL23">
            <v>0</v>
          </cell>
          <cell r="BM23">
            <v>0</v>
          </cell>
          <cell r="BN23">
            <v>0</v>
          </cell>
          <cell r="BO23">
            <v>0</v>
          </cell>
          <cell r="BP23">
            <v>100</v>
          </cell>
          <cell r="BQ23">
            <v>0</v>
          </cell>
          <cell r="BR23">
            <v>0</v>
          </cell>
          <cell r="BS23">
            <v>0</v>
          </cell>
          <cell r="BT23">
            <v>0</v>
          </cell>
          <cell r="BU23">
            <v>0</v>
          </cell>
          <cell r="BV23">
            <v>0</v>
          </cell>
          <cell r="BW23">
            <v>108</v>
          </cell>
          <cell r="BX23">
            <v>0</v>
          </cell>
          <cell r="BY23">
            <v>0</v>
          </cell>
          <cell r="BZ23">
            <v>0</v>
          </cell>
          <cell r="CA23">
            <v>0</v>
          </cell>
          <cell r="CB23">
            <v>1594</v>
          </cell>
          <cell r="CC23">
            <v>1200</v>
          </cell>
          <cell r="CD23">
            <v>0</v>
          </cell>
          <cell r="CE23">
            <v>0</v>
          </cell>
          <cell r="CF23">
            <v>0</v>
          </cell>
          <cell r="CG23">
            <v>0</v>
          </cell>
          <cell r="CH23">
            <v>0</v>
          </cell>
          <cell r="CI23">
            <v>0</v>
          </cell>
          <cell r="CJ23">
            <v>0</v>
          </cell>
          <cell r="CK23">
            <v>0</v>
          </cell>
        </row>
        <row r="24">
          <cell r="A24" t="str">
            <v>Utility winter max peak load</v>
          </cell>
          <cell r="B24" t="str">
            <v>PEAKW</v>
          </cell>
          <cell r="C24">
            <v>2007</v>
          </cell>
          <cell r="D24">
            <v>7722</v>
          </cell>
          <cell r="E24">
            <v>262451</v>
          </cell>
          <cell r="F24">
            <v>174463</v>
          </cell>
          <cell r="G24">
            <v>44355</v>
          </cell>
          <cell r="H24">
            <v>162924</v>
          </cell>
          <cell r="I24">
            <v>280394</v>
          </cell>
          <cell r="J24">
            <v>62291</v>
          </cell>
          <cell r="K24">
            <v>254098</v>
          </cell>
          <cell r="L24">
            <v>50700</v>
          </cell>
          <cell r="M24">
            <v>26792</v>
          </cell>
          <cell r="N24">
            <v>7058</v>
          </cell>
          <cell r="O24">
            <v>132956</v>
          </cell>
          <cell r="P24">
            <v>5844</v>
          </cell>
          <cell r="Q24">
            <v>7084</v>
          </cell>
          <cell r="R24">
            <v>0</v>
          </cell>
          <cell r="S24">
            <v>49746</v>
          </cell>
          <cell r="T24">
            <v>458800</v>
          </cell>
          <cell r="U24">
            <v>13937</v>
          </cell>
          <cell r="V24">
            <v>1234600</v>
          </cell>
          <cell r="W24">
            <v>77850</v>
          </cell>
          <cell r="X24">
            <v>13650</v>
          </cell>
          <cell r="Y24">
            <v>113400</v>
          </cell>
          <cell r="Z24">
            <v>100885</v>
          </cell>
          <cell r="AA24">
            <v>18097</v>
          </cell>
          <cell r="AB24">
            <v>2183</v>
          </cell>
          <cell r="AC24">
            <v>41804</v>
          </cell>
          <cell r="AD24">
            <v>195452</v>
          </cell>
          <cell r="AE24">
            <v>182354</v>
          </cell>
          <cell r="AF24">
            <v>13098</v>
          </cell>
          <cell r="AG24">
            <v>35770</v>
          </cell>
          <cell r="AH24">
            <v>255488</v>
          </cell>
          <cell r="AI24">
            <v>81117</v>
          </cell>
          <cell r="AJ24">
            <v>118782</v>
          </cell>
          <cell r="AK24">
            <v>21901</v>
          </cell>
          <cell r="AL24">
            <v>958009</v>
          </cell>
          <cell r="AM24">
            <v>6571</v>
          </cell>
          <cell r="AN24">
            <v>37110</v>
          </cell>
          <cell r="AO24">
            <v>618000</v>
          </cell>
          <cell r="AP24">
            <v>4146927</v>
          </cell>
          <cell r="AQ24">
            <v>1323948</v>
          </cell>
          <cell r="AR24">
            <v>48562</v>
          </cell>
          <cell r="AS24">
            <v>20993</v>
          </cell>
          <cell r="AT24">
            <v>132343</v>
          </cell>
          <cell r="AU24">
            <v>312517</v>
          </cell>
          <cell r="AV24">
            <v>49230</v>
          </cell>
          <cell r="AW24">
            <v>42285</v>
          </cell>
          <cell r="AX24">
            <v>566710</v>
          </cell>
          <cell r="AY24">
            <v>32173</v>
          </cell>
          <cell r="AZ24">
            <v>38557</v>
          </cell>
          <cell r="BA24">
            <v>111168</v>
          </cell>
          <cell r="BB24">
            <v>0</v>
          </cell>
          <cell r="BC24">
            <v>125023</v>
          </cell>
          <cell r="BD24">
            <v>197500</v>
          </cell>
          <cell r="BE24">
            <v>137845</v>
          </cell>
          <cell r="BF24">
            <v>59655</v>
          </cell>
          <cell r="BG24">
            <v>29786</v>
          </cell>
          <cell r="BH24">
            <v>71056</v>
          </cell>
          <cell r="BI24">
            <v>113519</v>
          </cell>
          <cell r="BJ24">
            <v>25689</v>
          </cell>
          <cell r="BK24">
            <v>268651</v>
          </cell>
          <cell r="BL24">
            <v>42618</v>
          </cell>
          <cell r="BM24">
            <v>57057</v>
          </cell>
          <cell r="BN24">
            <v>212930</v>
          </cell>
          <cell r="BO24">
            <v>38695</v>
          </cell>
          <cell r="BP24">
            <v>139708</v>
          </cell>
          <cell r="BQ24">
            <v>19170</v>
          </cell>
          <cell r="BR24">
            <v>148761</v>
          </cell>
          <cell r="BS24">
            <v>38400</v>
          </cell>
          <cell r="BT24">
            <v>1096729</v>
          </cell>
          <cell r="BU24">
            <v>19154</v>
          </cell>
          <cell r="BV24">
            <v>32731</v>
          </cell>
          <cell r="BW24">
            <v>22552</v>
          </cell>
          <cell r="BX24">
            <v>60692</v>
          </cell>
          <cell r="BY24">
            <v>190600</v>
          </cell>
          <cell r="BZ24">
            <v>41226</v>
          </cell>
          <cell r="CA24">
            <v>4111669</v>
          </cell>
          <cell r="CB24">
            <v>444200</v>
          </cell>
          <cell r="CC24">
            <v>24081</v>
          </cell>
          <cell r="CD24">
            <v>234655</v>
          </cell>
          <cell r="CE24">
            <v>83837</v>
          </cell>
          <cell r="CF24">
            <v>16478</v>
          </cell>
          <cell r="CG24">
            <v>26000</v>
          </cell>
          <cell r="CH24">
            <v>10524</v>
          </cell>
          <cell r="CI24">
            <v>90205</v>
          </cell>
          <cell r="CJ24">
            <v>152456</v>
          </cell>
          <cell r="CK24">
            <v>67025</v>
          </cell>
        </row>
        <row r="25">
          <cell r="A25" t="str">
            <v>Utility summer max peak load</v>
          </cell>
          <cell r="B25" t="str">
            <v>PEAKS</v>
          </cell>
          <cell r="C25">
            <v>2007</v>
          </cell>
          <cell r="D25">
            <v>7100</v>
          </cell>
          <cell r="E25">
            <v>309144</v>
          </cell>
          <cell r="F25">
            <v>208366</v>
          </cell>
          <cell r="G25">
            <v>46817</v>
          </cell>
          <cell r="H25">
            <v>191679</v>
          </cell>
          <cell r="I25">
            <v>367280</v>
          </cell>
          <cell r="J25">
            <v>50409</v>
          </cell>
          <cell r="K25">
            <v>308393</v>
          </cell>
          <cell r="L25">
            <v>56500</v>
          </cell>
          <cell r="M25">
            <v>27573</v>
          </cell>
          <cell r="N25">
            <v>6873</v>
          </cell>
          <cell r="O25">
            <v>171620</v>
          </cell>
          <cell r="P25">
            <v>5739</v>
          </cell>
          <cell r="Q25">
            <v>5833</v>
          </cell>
          <cell r="R25">
            <v>0</v>
          </cell>
          <cell r="S25">
            <v>61745</v>
          </cell>
          <cell r="T25">
            <v>577900</v>
          </cell>
          <cell r="U25">
            <v>12096</v>
          </cell>
          <cell r="V25">
            <v>1556900</v>
          </cell>
          <cell r="W25">
            <v>73806</v>
          </cell>
          <cell r="X25">
            <v>9516</v>
          </cell>
          <cell r="Y25">
            <v>142300</v>
          </cell>
          <cell r="Z25">
            <v>107690</v>
          </cell>
          <cell r="AA25">
            <v>14414</v>
          </cell>
          <cell r="AB25">
            <v>1636</v>
          </cell>
          <cell r="AC25">
            <v>26592</v>
          </cell>
          <cell r="AD25">
            <v>182990</v>
          </cell>
          <cell r="AE25">
            <v>173560</v>
          </cell>
          <cell r="AF25">
            <v>9430</v>
          </cell>
          <cell r="AG25">
            <v>42790</v>
          </cell>
          <cell r="AH25">
            <v>281377</v>
          </cell>
          <cell r="AI25">
            <v>87934</v>
          </cell>
          <cell r="AJ25">
            <v>122494</v>
          </cell>
          <cell r="AK25">
            <v>19067</v>
          </cell>
          <cell r="AL25">
            <v>1161891</v>
          </cell>
          <cell r="AM25">
            <v>4253</v>
          </cell>
          <cell r="AN25">
            <v>33120</v>
          </cell>
          <cell r="AO25">
            <v>772100</v>
          </cell>
          <cell r="AP25">
            <v>3365195</v>
          </cell>
          <cell r="AQ25">
            <v>1425095</v>
          </cell>
          <cell r="AR25">
            <v>43491</v>
          </cell>
          <cell r="AS25">
            <v>20499</v>
          </cell>
          <cell r="AT25">
            <v>110399</v>
          </cell>
          <cell r="AU25">
            <v>370934</v>
          </cell>
          <cell r="AV25">
            <v>46392</v>
          </cell>
          <cell r="AW25">
            <v>34402</v>
          </cell>
          <cell r="AX25">
            <v>681825</v>
          </cell>
          <cell r="AY25">
            <v>40485</v>
          </cell>
          <cell r="AZ25">
            <v>40128</v>
          </cell>
          <cell r="BA25">
            <v>130375</v>
          </cell>
          <cell r="BB25">
            <v>0</v>
          </cell>
          <cell r="BC25">
            <v>155199</v>
          </cell>
          <cell r="BD25">
            <v>254457</v>
          </cell>
          <cell r="BE25">
            <v>184119</v>
          </cell>
          <cell r="BF25">
            <v>70338</v>
          </cell>
          <cell r="BG25">
            <v>41136</v>
          </cell>
          <cell r="BH25">
            <v>77718</v>
          </cell>
          <cell r="BI25">
            <v>88833</v>
          </cell>
          <cell r="BJ25">
            <v>24540</v>
          </cell>
          <cell r="BK25">
            <v>351188</v>
          </cell>
          <cell r="BL25">
            <v>46056</v>
          </cell>
          <cell r="BM25">
            <v>55709</v>
          </cell>
          <cell r="BN25">
            <v>221904</v>
          </cell>
          <cell r="BO25">
            <v>32198</v>
          </cell>
          <cell r="BP25">
            <v>101464</v>
          </cell>
          <cell r="BQ25">
            <v>12650</v>
          </cell>
          <cell r="BR25">
            <v>152219</v>
          </cell>
          <cell r="BS25">
            <v>41000</v>
          </cell>
          <cell r="BT25">
            <v>1518593</v>
          </cell>
          <cell r="BU25">
            <v>19086</v>
          </cell>
          <cell r="BV25">
            <v>31422</v>
          </cell>
          <cell r="BW25">
            <v>14949</v>
          </cell>
          <cell r="BX25">
            <v>73561</v>
          </cell>
          <cell r="BY25">
            <v>177000</v>
          </cell>
          <cell r="BZ25">
            <v>48436</v>
          </cell>
          <cell r="CA25">
            <v>4788341</v>
          </cell>
          <cell r="CB25">
            <v>480200</v>
          </cell>
          <cell r="CC25">
            <v>26430</v>
          </cell>
          <cell r="CD25">
            <v>264915</v>
          </cell>
          <cell r="CE25">
            <v>104372</v>
          </cell>
          <cell r="CF25">
            <v>15711</v>
          </cell>
          <cell r="CG25">
            <v>26000</v>
          </cell>
          <cell r="CH25">
            <v>11279</v>
          </cell>
          <cell r="CI25">
            <v>73472</v>
          </cell>
          <cell r="CJ25">
            <v>185761</v>
          </cell>
          <cell r="CK25">
            <v>74897</v>
          </cell>
        </row>
        <row r="26">
          <cell r="A26" t="str">
            <v>Utility average peak load</v>
          </cell>
          <cell r="B26" t="str">
            <v>PEAKA</v>
          </cell>
          <cell r="C26">
            <v>2007</v>
          </cell>
          <cell r="D26">
            <v>6355</v>
          </cell>
          <cell r="E26">
            <v>264432</v>
          </cell>
          <cell r="F26">
            <v>133838</v>
          </cell>
          <cell r="G26">
            <v>42630</v>
          </cell>
          <cell r="H26">
            <v>164692</v>
          </cell>
          <cell r="I26">
            <v>294586</v>
          </cell>
          <cell r="J26">
            <v>53215</v>
          </cell>
          <cell r="K26">
            <v>262358</v>
          </cell>
          <cell r="L26">
            <v>49100</v>
          </cell>
          <cell r="M26">
            <v>25702</v>
          </cell>
          <cell r="N26">
            <v>4761</v>
          </cell>
          <cell r="O26">
            <v>141969</v>
          </cell>
          <cell r="P26">
            <v>5279</v>
          </cell>
          <cell r="Q26">
            <v>5675</v>
          </cell>
          <cell r="R26">
            <v>0</v>
          </cell>
          <cell r="S26">
            <v>50685</v>
          </cell>
          <cell r="T26">
            <v>482475</v>
          </cell>
          <cell r="U26">
            <v>11851</v>
          </cell>
          <cell r="V26">
            <v>1285767</v>
          </cell>
          <cell r="W26">
            <v>68192</v>
          </cell>
          <cell r="X26">
            <v>10809</v>
          </cell>
          <cell r="Y26">
            <v>107800</v>
          </cell>
          <cell r="Z26">
            <v>99374</v>
          </cell>
          <cell r="AA26">
            <v>14323</v>
          </cell>
          <cell r="AB26">
            <v>1924</v>
          </cell>
          <cell r="AC26">
            <v>31327</v>
          </cell>
          <cell r="AD26">
            <v>167454</v>
          </cell>
          <cell r="AE26">
            <v>157232</v>
          </cell>
          <cell r="AF26">
            <v>10222</v>
          </cell>
          <cell r="AG26">
            <v>33692</v>
          </cell>
          <cell r="AH26">
            <v>252612</v>
          </cell>
          <cell r="AI26">
            <v>77787</v>
          </cell>
          <cell r="AJ26">
            <v>101227</v>
          </cell>
          <cell r="AK26">
            <v>18375</v>
          </cell>
          <cell r="AL26">
            <v>975908</v>
          </cell>
          <cell r="AM26">
            <v>4498</v>
          </cell>
          <cell r="AN26">
            <v>32628</v>
          </cell>
          <cell r="AO26">
            <v>637700</v>
          </cell>
          <cell r="AP26">
            <v>3399384</v>
          </cell>
          <cell r="AQ26">
            <v>1239616</v>
          </cell>
          <cell r="AR26">
            <v>41342</v>
          </cell>
          <cell r="AS26">
            <v>18475</v>
          </cell>
          <cell r="AT26">
            <v>111275</v>
          </cell>
          <cell r="AU26">
            <v>320111</v>
          </cell>
          <cell r="AV26">
            <v>45049</v>
          </cell>
          <cell r="AW26">
            <v>35515</v>
          </cell>
          <cell r="AX26">
            <v>576717</v>
          </cell>
          <cell r="AY26">
            <v>33778</v>
          </cell>
          <cell r="AZ26">
            <v>36784</v>
          </cell>
          <cell r="BA26">
            <v>111065</v>
          </cell>
          <cell r="BB26">
            <v>0</v>
          </cell>
          <cell r="BC26">
            <v>129498</v>
          </cell>
          <cell r="BD26">
            <v>212508</v>
          </cell>
          <cell r="BE26">
            <v>152115</v>
          </cell>
          <cell r="BF26">
            <v>60393</v>
          </cell>
          <cell r="BG26">
            <v>32243</v>
          </cell>
          <cell r="BH26">
            <v>68783</v>
          </cell>
          <cell r="BI26">
            <v>92806</v>
          </cell>
          <cell r="BJ26">
            <v>21945</v>
          </cell>
          <cell r="BK26">
            <v>286846</v>
          </cell>
          <cell r="BL26">
            <v>41714</v>
          </cell>
          <cell r="BM26">
            <v>52880</v>
          </cell>
          <cell r="BN26">
            <v>198924</v>
          </cell>
          <cell r="BO26">
            <v>31160</v>
          </cell>
          <cell r="BP26">
            <v>115546</v>
          </cell>
          <cell r="BQ26">
            <v>14410</v>
          </cell>
          <cell r="BR26">
            <v>139052</v>
          </cell>
          <cell r="BS26">
            <v>34800</v>
          </cell>
          <cell r="BT26">
            <v>1211502</v>
          </cell>
          <cell r="BU26">
            <v>17421</v>
          </cell>
          <cell r="BV26">
            <v>23280</v>
          </cell>
          <cell r="BW26">
            <v>15505</v>
          </cell>
          <cell r="BX26">
            <v>61686</v>
          </cell>
          <cell r="BY26">
            <v>167300</v>
          </cell>
          <cell r="BZ26">
            <v>39554</v>
          </cell>
          <cell r="CA26">
            <v>4170644</v>
          </cell>
          <cell r="CB26">
            <v>423075</v>
          </cell>
          <cell r="CC26">
            <v>20908</v>
          </cell>
          <cell r="CD26">
            <v>231959</v>
          </cell>
          <cell r="CE26">
            <v>84473</v>
          </cell>
          <cell r="CF26">
            <v>15251</v>
          </cell>
          <cell r="CG26">
            <v>24000</v>
          </cell>
          <cell r="CH26">
            <v>10450</v>
          </cell>
          <cell r="CI26">
            <v>73257</v>
          </cell>
          <cell r="CJ26">
            <v>153126</v>
          </cell>
          <cell r="CK26">
            <v>66316</v>
          </cell>
        </row>
        <row r="27">
          <cell r="A27" t="str">
            <v>Total circuit kms of line</v>
          </cell>
          <cell r="B27" t="str">
            <v>KMC</v>
          </cell>
          <cell r="C27">
            <v>2007</v>
          </cell>
          <cell r="D27">
            <v>92</v>
          </cell>
          <cell r="E27">
            <v>1445</v>
          </cell>
          <cell r="F27">
            <v>746</v>
          </cell>
          <cell r="G27">
            <v>290</v>
          </cell>
          <cell r="H27">
            <v>490</v>
          </cell>
          <cell r="I27">
            <v>1548</v>
          </cell>
          <cell r="J27">
            <v>322</v>
          </cell>
          <cell r="K27">
            <v>1101</v>
          </cell>
          <cell r="L27">
            <v>525</v>
          </cell>
          <cell r="M27">
            <v>146</v>
          </cell>
          <cell r="N27">
            <v>27</v>
          </cell>
          <cell r="O27">
            <v>782</v>
          </cell>
          <cell r="P27">
            <v>21</v>
          </cell>
          <cell r="Q27">
            <v>27</v>
          </cell>
          <cell r="R27">
            <v>0</v>
          </cell>
          <cell r="S27">
            <v>146</v>
          </cell>
          <cell r="T27">
            <v>1133</v>
          </cell>
          <cell r="U27">
            <v>196</v>
          </cell>
          <cell r="V27">
            <v>5180</v>
          </cell>
          <cell r="W27">
            <v>251</v>
          </cell>
          <cell r="X27">
            <v>137</v>
          </cell>
          <cell r="Y27">
            <v>469</v>
          </cell>
          <cell r="Z27">
            <v>274</v>
          </cell>
          <cell r="AA27">
            <v>84</v>
          </cell>
          <cell r="AB27">
            <v>9</v>
          </cell>
          <cell r="AC27">
            <v>1823</v>
          </cell>
          <cell r="AD27">
            <v>871</v>
          </cell>
          <cell r="AE27">
            <v>833</v>
          </cell>
          <cell r="AF27">
            <v>38</v>
          </cell>
          <cell r="AG27">
            <v>235</v>
          </cell>
          <cell r="AH27">
            <v>1030</v>
          </cell>
          <cell r="AI27">
            <v>1706</v>
          </cell>
          <cell r="AJ27">
            <v>1344</v>
          </cell>
          <cell r="AK27">
            <v>68</v>
          </cell>
          <cell r="AL27">
            <v>3343</v>
          </cell>
          <cell r="AM27">
            <v>21</v>
          </cell>
          <cell r="AN27">
            <v>65</v>
          </cell>
          <cell r="AO27">
            <v>2702</v>
          </cell>
          <cell r="AP27">
            <v>120231</v>
          </cell>
          <cell r="AQ27">
            <v>5739</v>
          </cell>
          <cell r="AR27">
            <v>637</v>
          </cell>
          <cell r="AS27">
            <v>98</v>
          </cell>
          <cell r="AT27">
            <v>348</v>
          </cell>
          <cell r="AU27">
            <v>1840</v>
          </cell>
          <cell r="AV27">
            <v>114</v>
          </cell>
          <cell r="AW27">
            <v>355</v>
          </cell>
          <cell r="AX27">
            <v>2609</v>
          </cell>
          <cell r="AY27">
            <v>106</v>
          </cell>
          <cell r="AZ27">
            <v>115</v>
          </cell>
          <cell r="BA27">
            <v>833</v>
          </cell>
          <cell r="BB27">
            <v>4</v>
          </cell>
          <cell r="BC27">
            <v>1034</v>
          </cell>
          <cell r="BD27">
            <v>2773</v>
          </cell>
          <cell r="BE27">
            <v>1658</v>
          </cell>
          <cell r="BF27">
            <v>1115</v>
          </cell>
          <cell r="BG27">
            <v>337</v>
          </cell>
          <cell r="BH27">
            <v>655</v>
          </cell>
          <cell r="BI27">
            <v>608</v>
          </cell>
          <cell r="BJ27">
            <v>370</v>
          </cell>
          <cell r="BK27">
            <v>1397</v>
          </cell>
          <cell r="BL27">
            <v>159</v>
          </cell>
          <cell r="BM27">
            <v>302</v>
          </cell>
          <cell r="BN27">
            <v>953</v>
          </cell>
          <cell r="BO27">
            <v>146</v>
          </cell>
          <cell r="BP27">
            <v>725</v>
          </cell>
          <cell r="BQ27">
            <v>128</v>
          </cell>
          <cell r="BR27">
            <v>545</v>
          </cell>
          <cell r="BS27">
            <v>310</v>
          </cell>
          <cell r="BT27">
            <v>6200</v>
          </cell>
          <cell r="BU27">
            <v>55</v>
          </cell>
          <cell r="BV27">
            <v>87</v>
          </cell>
          <cell r="BW27">
            <v>211</v>
          </cell>
          <cell r="BX27">
            <v>240</v>
          </cell>
          <cell r="BY27">
            <v>1160</v>
          </cell>
          <cell r="BZ27">
            <v>153</v>
          </cell>
          <cell r="CA27">
            <v>16700</v>
          </cell>
          <cell r="CB27">
            <v>2066</v>
          </cell>
          <cell r="CC27">
            <v>229</v>
          </cell>
          <cell r="CD27">
            <v>1522.5</v>
          </cell>
          <cell r="CE27">
            <v>438</v>
          </cell>
          <cell r="CF27">
            <v>73</v>
          </cell>
          <cell r="CG27">
            <v>65</v>
          </cell>
          <cell r="CH27">
            <v>36</v>
          </cell>
          <cell r="CI27">
            <v>435</v>
          </cell>
          <cell r="CJ27">
            <v>1021</v>
          </cell>
          <cell r="CK27">
            <v>268</v>
          </cell>
        </row>
        <row r="28">
          <cell r="A28" t="str">
            <v>Overhead circuit kms of line</v>
          </cell>
          <cell r="B28" t="str">
            <v>KMCO</v>
          </cell>
          <cell r="C28">
            <v>2007</v>
          </cell>
          <cell r="D28">
            <v>92</v>
          </cell>
          <cell r="E28">
            <v>652</v>
          </cell>
          <cell r="F28">
            <v>577</v>
          </cell>
          <cell r="G28">
            <v>252</v>
          </cell>
          <cell r="H28">
            <v>273</v>
          </cell>
          <cell r="I28">
            <v>925</v>
          </cell>
          <cell r="J28">
            <v>213</v>
          </cell>
          <cell r="K28">
            <v>728</v>
          </cell>
          <cell r="L28">
            <v>481</v>
          </cell>
          <cell r="M28">
            <v>77</v>
          </cell>
          <cell r="N28">
            <v>26</v>
          </cell>
          <cell r="O28">
            <v>568</v>
          </cell>
          <cell r="P28">
            <v>17</v>
          </cell>
          <cell r="Q28">
            <v>15</v>
          </cell>
          <cell r="R28">
            <v>0</v>
          </cell>
          <cell r="S28">
            <v>90</v>
          </cell>
          <cell r="T28">
            <v>723</v>
          </cell>
          <cell r="U28">
            <v>174</v>
          </cell>
          <cell r="V28">
            <v>1799</v>
          </cell>
          <cell r="W28">
            <v>203</v>
          </cell>
          <cell r="X28">
            <v>126</v>
          </cell>
          <cell r="Y28">
            <v>233</v>
          </cell>
          <cell r="Z28">
            <v>184</v>
          </cell>
          <cell r="AA28">
            <v>76</v>
          </cell>
          <cell r="AB28">
            <v>8</v>
          </cell>
          <cell r="AC28">
            <v>1822</v>
          </cell>
          <cell r="AD28">
            <v>696</v>
          </cell>
          <cell r="AE28">
            <v>660</v>
          </cell>
          <cell r="AF28">
            <v>36</v>
          </cell>
          <cell r="AG28">
            <v>178</v>
          </cell>
          <cell r="AH28">
            <v>426</v>
          </cell>
          <cell r="AI28">
            <v>1625</v>
          </cell>
          <cell r="AJ28">
            <v>881</v>
          </cell>
          <cell r="AK28">
            <v>57</v>
          </cell>
          <cell r="AL28">
            <v>1504</v>
          </cell>
          <cell r="AM28">
            <v>18</v>
          </cell>
          <cell r="AN28">
            <v>56</v>
          </cell>
          <cell r="AO28">
            <v>800</v>
          </cell>
          <cell r="AP28">
            <v>115990</v>
          </cell>
          <cell r="AQ28">
            <v>2898</v>
          </cell>
          <cell r="AR28">
            <v>521</v>
          </cell>
          <cell r="AS28">
            <v>88</v>
          </cell>
          <cell r="AT28">
            <v>242</v>
          </cell>
          <cell r="AU28">
            <v>1043</v>
          </cell>
          <cell r="AV28">
            <v>95</v>
          </cell>
          <cell r="AW28">
            <v>285</v>
          </cell>
          <cell r="AX28">
            <v>1274</v>
          </cell>
          <cell r="AY28">
            <v>81</v>
          </cell>
          <cell r="AZ28">
            <v>79</v>
          </cell>
          <cell r="BA28">
            <v>540</v>
          </cell>
          <cell r="BB28">
            <v>3</v>
          </cell>
          <cell r="BC28">
            <v>580</v>
          </cell>
          <cell r="BD28">
            <v>2016</v>
          </cell>
          <cell r="BE28">
            <v>989</v>
          </cell>
          <cell r="BF28">
            <v>1027</v>
          </cell>
          <cell r="BG28">
            <v>247</v>
          </cell>
          <cell r="BH28">
            <v>573</v>
          </cell>
          <cell r="BI28">
            <v>513</v>
          </cell>
          <cell r="BJ28">
            <v>365</v>
          </cell>
          <cell r="BK28">
            <v>545</v>
          </cell>
          <cell r="BL28">
            <v>93</v>
          </cell>
          <cell r="BM28">
            <v>245</v>
          </cell>
          <cell r="BN28">
            <v>513</v>
          </cell>
          <cell r="BO28">
            <v>127</v>
          </cell>
          <cell r="BP28">
            <v>611</v>
          </cell>
          <cell r="BQ28">
            <v>117</v>
          </cell>
          <cell r="BR28">
            <v>384</v>
          </cell>
          <cell r="BS28">
            <v>296</v>
          </cell>
          <cell r="BT28">
            <v>1906</v>
          </cell>
          <cell r="BU28">
            <v>53</v>
          </cell>
          <cell r="BV28">
            <v>78</v>
          </cell>
          <cell r="BW28">
            <v>205</v>
          </cell>
          <cell r="BX28">
            <v>160</v>
          </cell>
          <cell r="BY28">
            <v>929</v>
          </cell>
          <cell r="BZ28">
            <v>102</v>
          </cell>
          <cell r="CA28">
            <v>9100</v>
          </cell>
          <cell r="CB28">
            <v>1386</v>
          </cell>
          <cell r="CC28">
            <v>125</v>
          </cell>
          <cell r="CD28">
            <v>1042.5</v>
          </cell>
          <cell r="CE28">
            <v>329</v>
          </cell>
          <cell r="CF28">
            <v>64</v>
          </cell>
          <cell r="CG28">
            <v>52</v>
          </cell>
          <cell r="CH28">
            <v>25</v>
          </cell>
          <cell r="CI28">
            <v>309</v>
          </cell>
          <cell r="CJ28">
            <v>491</v>
          </cell>
          <cell r="CK28">
            <v>152</v>
          </cell>
        </row>
        <row r="29">
          <cell r="A29" t="str">
            <v>Underground circuit kms ofline</v>
          </cell>
          <cell r="B29" t="str">
            <v>KMCU</v>
          </cell>
          <cell r="C29">
            <v>2007</v>
          </cell>
          <cell r="D29">
            <v>0</v>
          </cell>
          <cell r="E29">
            <v>793</v>
          </cell>
          <cell r="F29">
            <v>169</v>
          </cell>
          <cell r="G29">
            <v>38</v>
          </cell>
          <cell r="H29">
            <v>217</v>
          </cell>
          <cell r="I29">
            <v>623</v>
          </cell>
          <cell r="J29">
            <v>109</v>
          </cell>
          <cell r="K29">
            <v>373</v>
          </cell>
          <cell r="L29">
            <v>44</v>
          </cell>
          <cell r="M29">
            <v>69</v>
          </cell>
          <cell r="N29">
            <v>1</v>
          </cell>
          <cell r="O29">
            <v>214</v>
          </cell>
          <cell r="P29">
            <v>4</v>
          </cell>
          <cell r="Q29">
            <v>12</v>
          </cell>
          <cell r="R29">
            <v>0</v>
          </cell>
          <cell r="S29">
            <v>56</v>
          </cell>
          <cell r="T29">
            <v>410</v>
          </cell>
          <cell r="U29">
            <v>22</v>
          </cell>
          <cell r="V29">
            <v>3381</v>
          </cell>
          <cell r="W29">
            <v>48</v>
          </cell>
          <cell r="X29">
            <v>11</v>
          </cell>
          <cell r="Y29">
            <v>236</v>
          </cell>
          <cell r="Z29">
            <v>90</v>
          </cell>
          <cell r="AA29">
            <v>8</v>
          </cell>
          <cell r="AB29">
            <v>1</v>
          </cell>
          <cell r="AC29">
            <v>1</v>
          </cell>
          <cell r="AD29">
            <v>175</v>
          </cell>
          <cell r="AE29">
            <v>173</v>
          </cell>
          <cell r="AF29">
            <v>2</v>
          </cell>
          <cell r="AG29">
            <v>57</v>
          </cell>
          <cell r="AH29">
            <v>604</v>
          </cell>
          <cell r="AI29">
            <v>81</v>
          </cell>
          <cell r="AJ29">
            <v>463</v>
          </cell>
          <cell r="AK29">
            <v>11</v>
          </cell>
          <cell r="AL29">
            <v>1839</v>
          </cell>
          <cell r="AM29">
            <v>3</v>
          </cell>
          <cell r="AN29">
            <v>9</v>
          </cell>
          <cell r="AO29">
            <v>1902</v>
          </cell>
          <cell r="AP29">
            <v>4241</v>
          </cell>
          <cell r="AQ29">
            <v>2841</v>
          </cell>
          <cell r="AR29">
            <v>116</v>
          </cell>
          <cell r="AS29">
            <v>10</v>
          </cell>
          <cell r="AT29">
            <v>106</v>
          </cell>
          <cell r="AU29">
            <v>797</v>
          </cell>
          <cell r="AV29">
            <v>19</v>
          </cell>
          <cell r="AW29">
            <v>70</v>
          </cell>
          <cell r="AX29">
            <v>1335</v>
          </cell>
          <cell r="AY29">
            <v>25</v>
          </cell>
          <cell r="AZ29">
            <v>36</v>
          </cell>
          <cell r="BA29">
            <v>293</v>
          </cell>
          <cell r="BB29">
            <v>1</v>
          </cell>
          <cell r="BC29">
            <v>454</v>
          </cell>
          <cell r="BD29">
            <v>757</v>
          </cell>
          <cell r="BE29">
            <v>669</v>
          </cell>
          <cell r="BF29">
            <v>88</v>
          </cell>
          <cell r="BG29">
            <v>90</v>
          </cell>
          <cell r="BH29">
            <v>82</v>
          </cell>
          <cell r="BI29">
            <v>95</v>
          </cell>
          <cell r="BJ29">
            <v>5</v>
          </cell>
          <cell r="BK29">
            <v>852</v>
          </cell>
          <cell r="BL29">
            <v>66</v>
          </cell>
          <cell r="BM29">
            <v>57</v>
          </cell>
          <cell r="BN29">
            <v>440</v>
          </cell>
          <cell r="BO29">
            <v>19</v>
          </cell>
          <cell r="BP29">
            <v>114</v>
          </cell>
          <cell r="BQ29">
            <v>11</v>
          </cell>
          <cell r="BR29">
            <v>161</v>
          </cell>
          <cell r="BS29">
            <v>14</v>
          </cell>
          <cell r="BT29">
            <v>4294</v>
          </cell>
          <cell r="BU29">
            <v>2</v>
          </cell>
          <cell r="BV29">
            <v>9</v>
          </cell>
          <cell r="BW29">
            <v>6</v>
          </cell>
          <cell r="BX29">
            <v>80</v>
          </cell>
          <cell r="BY29">
            <v>231</v>
          </cell>
          <cell r="BZ29">
            <v>51</v>
          </cell>
          <cell r="CA29">
            <v>7600</v>
          </cell>
          <cell r="CB29">
            <v>680</v>
          </cell>
          <cell r="CC29">
            <v>104</v>
          </cell>
          <cell r="CD29">
            <v>480</v>
          </cell>
          <cell r="CE29">
            <v>109</v>
          </cell>
          <cell r="CF29">
            <v>9</v>
          </cell>
          <cell r="CG29">
            <v>13</v>
          </cell>
          <cell r="CH29">
            <v>11</v>
          </cell>
          <cell r="CI29">
            <v>126</v>
          </cell>
          <cell r="CJ29">
            <v>530</v>
          </cell>
          <cell r="CK29">
            <v>116</v>
          </cell>
        </row>
        <row r="30">
          <cell r="A30" t="str">
            <v>Circuit kilometers 3 phase</v>
          </cell>
          <cell r="B30" t="str">
            <v>KMC3</v>
          </cell>
          <cell r="C30">
            <v>2007</v>
          </cell>
          <cell r="D30">
            <v>47</v>
          </cell>
          <cell r="E30">
            <v>683</v>
          </cell>
          <cell r="F30">
            <v>421</v>
          </cell>
          <cell r="G30">
            <v>132</v>
          </cell>
          <cell r="H30">
            <v>236</v>
          </cell>
          <cell r="I30">
            <v>783</v>
          </cell>
          <cell r="J30">
            <v>169</v>
          </cell>
          <cell r="K30">
            <v>467</v>
          </cell>
          <cell r="L30">
            <v>318</v>
          </cell>
          <cell r="M30">
            <v>69</v>
          </cell>
          <cell r="N30">
            <v>16</v>
          </cell>
          <cell r="O30">
            <v>504</v>
          </cell>
          <cell r="P30">
            <v>10</v>
          </cell>
          <cell r="Q30">
            <v>12</v>
          </cell>
          <cell r="R30">
            <v>0</v>
          </cell>
          <cell r="S30">
            <v>72</v>
          </cell>
          <cell r="T30">
            <v>612</v>
          </cell>
          <cell r="U30">
            <v>109</v>
          </cell>
          <cell r="V30">
            <v>3139</v>
          </cell>
          <cell r="W30">
            <v>142</v>
          </cell>
          <cell r="X30">
            <v>31</v>
          </cell>
          <cell r="Y30">
            <v>166</v>
          </cell>
          <cell r="Z30">
            <v>146</v>
          </cell>
          <cell r="AA30">
            <v>48</v>
          </cell>
          <cell r="AB30">
            <v>4</v>
          </cell>
          <cell r="AC30">
            <v>441</v>
          </cell>
          <cell r="AD30">
            <v>501</v>
          </cell>
          <cell r="AE30">
            <v>481</v>
          </cell>
          <cell r="AF30">
            <v>20</v>
          </cell>
          <cell r="AG30">
            <v>127</v>
          </cell>
          <cell r="AH30">
            <v>462</v>
          </cell>
          <cell r="AI30">
            <v>611</v>
          </cell>
          <cell r="AJ30">
            <v>401</v>
          </cell>
          <cell r="AK30">
            <v>27</v>
          </cell>
          <cell r="AL30">
            <v>1764</v>
          </cell>
          <cell r="AM30">
            <v>10</v>
          </cell>
          <cell r="AN30">
            <v>42</v>
          </cell>
          <cell r="AO30">
            <v>1150</v>
          </cell>
          <cell r="AP30">
            <v>45363</v>
          </cell>
          <cell r="AQ30">
            <v>3259</v>
          </cell>
          <cell r="AR30">
            <v>365</v>
          </cell>
          <cell r="AS30">
            <v>61</v>
          </cell>
          <cell r="AT30">
            <v>251</v>
          </cell>
          <cell r="AU30">
            <v>778</v>
          </cell>
          <cell r="AV30">
            <v>72</v>
          </cell>
          <cell r="AW30">
            <v>162</v>
          </cell>
          <cell r="AX30">
            <v>1190</v>
          </cell>
          <cell r="AY30">
            <v>61</v>
          </cell>
          <cell r="AZ30">
            <v>79</v>
          </cell>
          <cell r="BA30">
            <v>419</v>
          </cell>
          <cell r="BB30">
            <v>3</v>
          </cell>
          <cell r="BC30">
            <v>320</v>
          </cell>
          <cell r="BD30">
            <v>1691</v>
          </cell>
          <cell r="BE30">
            <v>1256</v>
          </cell>
          <cell r="BF30">
            <v>435</v>
          </cell>
          <cell r="BG30">
            <v>178</v>
          </cell>
          <cell r="BH30">
            <v>310</v>
          </cell>
          <cell r="BI30">
            <v>362</v>
          </cell>
          <cell r="BJ30">
            <v>200</v>
          </cell>
          <cell r="BK30">
            <v>722</v>
          </cell>
          <cell r="BL30">
            <v>89</v>
          </cell>
          <cell r="BM30">
            <v>221</v>
          </cell>
          <cell r="BN30">
            <v>358</v>
          </cell>
          <cell r="BO30">
            <v>94</v>
          </cell>
          <cell r="BP30">
            <v>455</v>
          </cell>
          <cell r="BQ30">
            <v>84</v>
          </cell>
          <cell r="BR30">
            <v>349</v>
          </cell>
          <cell r="BS30">
            <v>175</v>
          </cell>
          <cell r="BT30">
            <v>2789</v>
          </cell>
          <cell r="BU30">
            <v>34</v>
          </cell>
          <cell r="BV30">
            <v>43</v>
          </cell>
          <cell r="BW30">
            <v>72</v>
          </cell>
          <cell r="BX30">
            <v>144</v>
          </cell>
          <cell r="BY30">
            <v>642</v>
          </cell>
          <cell r="BZ30">
            <v>89</v>
          </cell>
          <cell r="CA30">
            <v>0</v>
          </cell>
          <cell r="CB30">
            <v>1076</v>
          </cell>
          <cell r="CC30">
            <v>96</v>
          </cell>
          <cell r="CD30">
            <v>695</v>
          </cell>
          <cell r="CE30">
            <v>281</v>
          </cell>
          <cell r="CF30">
            <v>45</v>
          </cell>
          <cell r="CG30">
            <v>44</v>
          </cell>
          <cell r="CH30">
            <v>18</v>
          </cell>
          <cell r="CI30">
            <v>244</v>
          </cell>
          <cell r="CJ30">
            <v>460</v>
          </cell>
          <cell r="CK30">
            <v>144</v>
          </cell>
        </row>
        <row r="31">
          <cell r="A31" t="str">
            <v>Circuit kilometers 2 phase</v>
          </cell>
          <cell r="B31" t="str">
            <v>KMC2</v>
          </cell>
          <cell r="C31">
            <v>2007</v>
          </cell>
          <cell r="D31">
            <v>0</v>
          </cell>
          <cell r="E31">
            <v>0</v>
          </cell>
          <cell r="F31">
            <v>5</v>
          </cell>
          <cell r="G31">
            <v>10</v>
          </cell>
          <cell r="H31">
            <v>0</v>
          </cell>
          <cell r="I31">
            <v>0</v>
          </cell>
          <cell r="J31">
            <v>8</v>
          </cell>
          <cell r="K31">
            <v>2</v>
          </cell>
          <cell r="L31">
            <v>96</v>
          </cell>
          <cell r="M31">
            <v>0</v>
          </cell>
          <cell r="N31">
            <v>2</v>
          </cell>
          <cell r="O31">
            <v>2</v>
          </cell>
          <cell r="P31">
            <v>1</v>
          </cell>
          <cell r="Q31">
            <v>1</v>
          </cell>
          <cell r="R31">
            <v>0</v>
          </cell>
          <cell r="S31">
            <v>2</v>
          </cell>
          <cell r="T31">
            <v>24</v>
          </cell>
          <cell r="U31">
            <v>9</v>
          </cell>
          <cell r="V31">
            <v>104</v>
          </cell>
          <cell r="W31">
            <v>105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22</v>
          </cell>
          <cell r="AM31">
            <v>2</v>
          </cell>
          <cell r="AN31">
            <v>0</v>
          </cell>
          <cell r="AO31">
            <v>22</v>
          </cell>
          <cell r="AP31">
            <v>3595</v>
          </cell>
          <cell r="AQ31">
            <v>164</v>
          </cell>
          <cell r="AR31">
            <v>16</v>
          </cell>
          <cell r="AS31">
            <v>0</v>
          </cell>
          <cell r="AT31">
            <v>0</v>
          </cell>
          <cell r="AU31">
            <v>0</v>
          </cell>
          <cell r="AV31">
            <v>0</v>
          </cell>
          <cell r="AW31">
            <v>5</v>
          </cell>
          <cell r="AX31">
            <v>0</v>
          </cell>
          <cell r="AY31">
            <v>1</v>
          </cell>
          <cell r="AZ31">
            <v>0</v>
          </cell>
          <cell r="BA31">
            <v>26</v>
          </cell>
          <cell r="BB31">
            <v>0</v>
          </cell>
          <cell r="BC31">
            <v>7</v>
          </cell>
          <cell r="BD31">
            <v>0</v>
          </cell>
          <cell r="BE31">
            <v>3</v>
          </cell>
          <cell r="BF31">
            <v>12</v>
          </cell>
          <cell r="BG31">
            <v>1</v>
          </cell>
          <cell r="BH31">
            <v>2</v>
          </cell>
          <cell r="BI31">
            <v>0</v>
          </cell>
          <cell r="BJ31">
            <v>0</v>
          </cell>
          <cell r="BK31">
            <v>0</v>
          </cell>
          <cell r="BL31">
            <v>0</v>
          </cell>
          <cell r="BM31">
            <v>6</v>
          </cell>
          <cell r="BN31">
            <v>0</v>
          </cell>
          <cell r="BO31">
            <v>1</v>
          </cell>
          <cell r="BP31">
            <v>10</v>
          </cell>
          <cell r="BQ31">
            <v>0</v>
          </cell>
          <cell r="BR31">
            <v>8</v>
          </cell>
          <cell r="BS31">
            <v>0</v>
          </cell>
          <cell r="BT31">
            <v>90</v>
          </cell>
          <cell r="BU31">
            <v>1</v>
          </cell>
          <cell r="BV31">
            <v>0</v>
          </cell>
          <cell r="BW31">
            <v>0</v>
          </cell>
          <cell r="BX31">
            <v>13</v>
          </cell>
          <cell r="BY31">
            <v>0</v>
          </cell>
          <cell r="BZ31">
            <v>0</v>
          </cell>
          <cell r="CA31">
            <v>0</v>
          </cell>
          <cell r="CB31">
            <v>22</v>
          </cell>
          <cell r="CC31">
            <v>8</v>
          </cell>
          <cell r="CD31">
            <v>7.5</v>
          </cell>
          <cell r="CE31">
            <v>1</v>
          </cell>
          <cell r="CF31">
            <v>0</v>
          </cell>
          <cell r="CG31">
            <v>0</v>
          </cell>
          <cell r="CH31">
            <v>0</v>
          </cell>
          <cell r="CI31">
            <v>4</v>
          </cell>
          <cell r="CJ31">
            <v>10</v>
          </cell>
          <cell r="CK31">
            <v>0</v>
          </cell>
        </row>
        <row r="32">
          <cell r="A32" t="str">
            <v>Circuit kms single phase</v>
          </cell>
          <cell r="B32" t="str">
            <v>KMC1</v>
          </cell>
          <cell r="C32">
            <v>2007</v>
          </cell>
          <cell r="D32">
            <v>45</v>
          </cell>
          <cell r="E32">
            <v>762</v>
          </cell>
          <cell r="F32">
            <v>320</v>
          </cell>
          <cell r="G32">
            <v>148</v>
          </cell>
          <cell r="H32">
            <v>254</v>
          </cell>
          <cell r="I32">
            <v>765</v>
          </cell>
          <cell r="J32">
            <v>145</v>
          </cell>
          <cell r="K32">
            <v>632</v>
          </cell>
          <cell r="L32">
            <v>111</v>
          </cell>
          <cell r="M32">
            <v>77</v>
          </cell>
          <cell r="N32">
            <v>9</v>
          </cell>
          <cell r="O32">
            <v>276</v>
          </cell>
          <cell r="P32">
            <v>10</v>
          </cell>
          <cell r="Q32">
            <v>14</v>
          </cell>
          <cell r="R32">
            <v>0</v>
          </cell>
          <cell r="S32">
            <v>72</v>
          </cell>
          <cell r="T32">
            <v>497</v>
          </cell>
          <cell r="U32">
            <v>78</v>
          </cell>
          <cell r="V32">
            <v>1937</v>
          </cell>
          <cell r="W32">
            <v>4</v>
          </cell>
          <cell r="X32">
            <v>105</v>
          </cell>
          <cell r="Y32">
            <v>303</v>
          </cell>
          <cell r="Z32">
            <v>123</v>
          </cell>
          <cell r="AA32">
            <v>28</v>
          </cell>
          <cell r="AB32">
            <v>5</v>
          </cell>
          <cell r="AC32">
            <v>1345</v>
          </cell>
          <cell r="AD32">
            <v>370</v>
          </cell>
          <cell r="AE32">
            <v>352</v>
          </cell>
          <cell r="AF32">
            <v>18</v>
          </cell>
          <cell r="AG32">
            <v>108</v>
          </cell>
          <cell r="AH32">
            <v>568</v>
          </cell>
          <cell r="AI32">
            <v>1036</v>
          </cell>
          <cell r="AJ32">
            <v>943</v>
          </cell>
          <cell r="AK32">
            <v>41</v>
          </cell>
          <cell r="AL32">
            <v>1557</v>
          </cell>
          <cell r="AM32">
            <v>9</v>
          </cell>
          <cell r="AN32">
            <v>23</v>
          </cell>
          <cell r="AO32">
            <v>1530</v>
          </cell>
          <cell r="AP32">
            <v>71273</v>
          </cell>
          <cell r="AQ32">
            <v>2316</v>
          </cell>
          <cell r="AR32">
            <v>256</v>
          </cell>
          <cell r="AS32">
            <v>37</v>
          </cell>
          <cell r="AT32">
            <v>97</v>
          </cell>
          <cell r="AU32">
            <v>1062</v>
          </cell>
          <cell r="AV32">
            <v>42</v>
          </cell>
          <cell r="AW32">
            <v>188</v>
          </cell>
          <cell r="AX32">
            <v>1409</v>
          </cell>
          <cell r="AY32">
            <v>44</v>
          </cell>
          <cell r="AZ32">
            <v>36</v>
          </cell>
          <cell r="BA32">
            <v>388</v>
          </cell>
          <cell r="BB32">
            <v>1</v>
          </cell>
          <cell r="BC32">
            <v>707</v>
          </cell>
          <cell r="BD32">
            <v>1067</v>
          </cell>
          <cell r="BE32">
            <v>399</v>
          </cell>
          <cell r="BF32">
            <v>668</v>
          </cell>
          <cell r="BG32">
            <v>158</v>
          </cell>
          <cell r="BH32">
            <v>343</v>
          </cell>
          <cell r="BI32">
            <v>246</v>
          </cell>
          <cell r="BJ32">
            <v>170</v>
          </cell>
          <cell r="BK32">
            <v>675</v>
          </cell>
          <cell r="BL32">
            <v>70</v>
          </cell>
          <cell r="BM32">
            <v>75</v>
          </cell>
          <cell r="BN32">
            <v>595</v>
          </cell>
          <cell r="BO32">
            <v>51</v>
          </cell>
          <cell r="BP32">
            <v>260</v>
          </cell>
          <cell r="BQ32">
            <v>44</v>
          </cell>
          <cell r="BR32">
            <v>188</v>
          </cell>
          <cell r="BS32">
            <v>134</v>
          </cell>
          <cell r="BT32">
            <v>3321</v>
          </cell>
          <cell r="BU32">
            <v>20</v>
          </cell>
          <cell r="BV32">
            <v>44</v>
          </cell>
          <cell r="BW32">
            <v>139</v>
          </cell>
          <cell r="BX32">
            <v>83</v>
          </cell>
          <cell r="BY32">
            <v>518</v>
          </cell>
          <cell r="BZ32">
            <v>64</v>
          </cell>
          <cell r="CA32">
            <v>0</v>
          </cell>
          <cell r="CB32">
            <v>968</v>
          </cell>
          <cell r="CC32">
            <v>125</v>
          </cell>
          <cell r="CD32">
            <v>820</v>
          </cell>
          <cell r="CE32">
            <v>156</v>
          </cell>
          <cell r="CF32">
            <v>28</v>
          </cell>
          <cell r="CG32">
            <v>21</v>
          </cell>
          <cell r="CH32">
            <v>18</v>
          </cell>
          <cell r="CI32">
            <v>187</v>
          </cell>
          <cell r="CJ32">
            <v>551</v>
          </cell>
          <cell r="CK32">
            <v>124</v>
          </cell>
        </row>
        <row r="33">
          <cell r="A33" t="str">
            <v>No transmission transformers</v>
          </cell>
          <cell r="B33" t="str">
            <v>NTRST</v>
          </cell>
          <cell r="C33">
            <v>2007</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249</v>
          </cell>
          <cell r="AQ33">
            <v>22</v>
          </cell>
          <cell r="AR33">
            <v>0</v>
          </cell>
          <cell r="AS33">
            <v>3</v>
          </cell>
          <cell r="AT33">
            <v>0</v>
          </cell>
          <cell r="AU33">
            <v>16</v>
          </cell>
          <cell r="AV33">
            <v>0</v>
          </cell>
          <cell r="AW33">
            <v>0</v>
          </cell>
          <cell r="AX33">
            <v>0</v>
          </cell>
          <cell r="AY33">
            <v>0</v>
          </cell>
          <cell r="AZ33">
            <v>0</v>
          </cell>
          <cell r="BA33">
            <v>0</v>
          </cell>
          <cell r="BB33">
            <v>0</v>
          </cell>
          <cell r="BC33">
            <v>0</v>
          </cell>
          <cell r="BD33">
            <v>0</v>
          </cell>
          <cell r="BE33">
            <v>6</v>
          </cell>
          <cell r="BF33">
            <v>6</v>
          </cell>
          <cell r="BG33">
            <v>3</v>
          </cell>
          <cell r="BH33">
            <v>1</v>
          </cell>
          <cell r="BI33">
            <v>0</v>
          </cell>
          <cell r="BJ33">
            <v>0</v>
          </cell>
          <cell r="BK33">
            <v>0</v>
          </cell>
          <cell r="BL33">
            <v>0</v>
          </cell>
          <cell r="BM33">
            <v>0</v>
          </cell>
          <cell r="BN33">
            <v>0</v>
          </cell>
          <cell r="BO33">
            <v>0</v>
          </cell>
          <cell r="BP33">
            <v>8</v>
          </cell>
          <cell r="BQ33">
            <v>0</v>
          </cell>
          <cell r="BR33">
            <v>0</v>
          </cell>
          <cell r="BS33">
            <v>0</v>
          </cell>
          <cell r="BT33">
            <v>10</v>
          </cell>
          <cell r="BU33">
            <v>0</v>
          </cell>
          <cell r="BV33">
            <v>0</v>
          </cell>
          <cell r="BW33">
            <v>0</v>
          </cell>
          <cell r="BX33">
            <v>0</v>
          </cell>
          <cell r="BY33">
            <v>0</v>
          </cell>
          <cell r="BZ33">
            <v>0</v>
          </cell>
          <cell r="CA33">
            <v>0</v>
          </cell>
          <cell r="CB33">
            <v>0</v>
          </cell>
          <cell r="CC33">
            <v>0</v>
          </cell>
          <cell r="CD33">
            <v>8</v>
          </cell>
          <cell r="CE33">
            <v>0</v>
          </cell>
          <cell r="CF33">
            <v>0</v>
          </cell>
          <cell r="CG33">
            <v>0</v>
          </cell>
          <cell r="CH33">
            <v>0</v>
          </cell>
          <cell r="CI33">
            <v>0</v>
          </cell>
          <cell r="CJ33">
            <v>0</v>
          </cell>
          <cell r="CK33">
            <v>0</v>
          </cell>
        </row>
        <row r="34">
          <cell r="A34" t="str">
            <v>No subtransmission transformer</v>
          </cell>
          <cell r="B34" t="str">
            <v>NTRFST</v>
          </cell>
          <cell r="C34">
            <v>2007</v>
          </cell>
          <cell r="D34">
            <v>4</v>
          </cell>
          <cell r="E34">
            <v>40</v>
          </cell>
          <cell r="F34">
            <v>23</v>
          </cell>
          <cell r="G34">
            <v>2</v>
          </cell>
          <cell r="H34">
            <v>4</v>
          </cell>
          <cell r="I34">
            <v>44</v>
          </cell>
          <cell r="J34">
            <v>12</v>
          </cell>
          <cell r="K34">
            <v>5</v>
          </cell>
          <cell r="L34">
            <v>8</v>
          </cell>
          <cell r="M34">
            <v>6</v>
          </cell>
          <cell r="N34">
            <v>0</v>
          </cell>
          <cell r="O34">
            <v>0</v>
          </cell>
          <cell r="P34">
            <v>4</v>
          </cell>
          <cell r="Q34">
            <v>1</v>
          </cell>
          <cell r="R34">
            <v>0</v>
          </cell>
          <cell r="S34">
            <v>0</v>
          </cell>
          <cell r="T34">
            <v>19</v>
          </cell>
          <cell r="U34">
            <v>8</v>
          </cell>
          <cell r="V34">
            <v>106</v>
          </cell>
          <cell r="W34">
            <v>10</v>
          </cell>
          <cell r="X34">
            <v>0</v>
          </cell>
          <cell r="Y34">
            <v>6</v>
          </cell>
          <cell r="Z34">
            <v>8</v>
          </cell>
          <cell r="AA34">
            <v>0</v>
          </cell>
          <cell r="AB34">
            <v>0</v>
          </cell>
          <cell r="AC34">
            <v>21</v>
          </cell>
          <cell r="AD34">
            <v>34</v>
          </cell>
          <cell r="AE34">
            <v>27</v>
          </cell>
          <cell r="AF34">
            <v>7</v>
          </cell>
          <cell r="AG34">
            <v>0</v>
          </cell>
          <cell r="AH34">
            <v>0</v>
          </cell>
          <cell r="AI34">
            <v>13</v>
          </cell>
          <cell r="AJ34">
            <v>63</v>
          </cell>
          <cell r="AK34">
            <v>0</v>
          </cell>
          <cell r="AL34">
            <v>70</v>
          </cell>
          <cell r="AM34">
            <v>0</v>
          </cell>
          <cell r="AN34">
            <v>3</v>
          </cell>
          <cell r="AO34">
            <v>24</v>
          </cell>
          <cell r="AP34">
            <v>1462</v>
          </cell>
          <cell r="AQ34">
            <v>154</v>
          </cell>
          <cell r="AR34">
            <v>16</v>
          </cell>
          <cell r="AS34">
            <v>0</v>
          </cell>
          <cell r="AT34">
            <v>34</v>
          </cell>
          <cell r="AU34">
            <v>7</v>
          </cell>
          <cell r="AV34">
            <v>0</v>
          </cell>
          <cell r="AW34">
            <v>7</v>
          </cell>
          <cell r="AX34">
            <v>49</v>
          </cell>
          <cell r="AY34">
            <v>0</v>
          </cell>
          <cell r="AZ34">
            <v>6</v>
          </cell>
          <cell r="BA34">
            <v>0</v>
          </cell>
          <cell r="BB34">
            <v>0</v>
          </cell>
          <cell r="BC34">
            <v>16</v>
          </cell>
          <cell r="BD34">
            <v>0</v>
          </cell>
          <cell r="BE34">
            <v>0</v>
          </cell>
          <cell r="BF34">
            <v>0</v>
          </cell>
          <cell r="BG34">
            <v>32</v>
          </cell>
          <cell r="BH34">
            <v>11</v>
          </cell>
          <cell r="BI34">
            <v>21</v>
          </cell>
          <cell r="BJ34">
            <v>0</v>
          </cell>
          <cell r="BK34">
            <v>38</v>
          </cell>
          <cell r="BL34">
            <v>0</v>
          </cell>
          <cell r="BM34">
            <v>0</v>
          </cell>
          <cell r="BN34">
            <v>16</v>
          </cell>
          <cell r="BO34">
            <v>11</v>
          </cell>
          <cell r="BP34">
            <v>33</v>
          </cell>
          <cell r="BQ34">
            <v>5</v>
          </cell>
          <cell r="BR34">
            <v>39</v>
          </cell>
          <cell r="BS34">
            <v>7</v>
          </cell>
          <cell r="BT34">
            <v>17</v>
          </cell>
          <cell r="BU34">
            <v>5</v>
          </cell>
          <cell r="BV34">
            <v>9</v>
          </cell>
          <cell r="BW34">
            <v>0</v>
          </cell>
          <cell r="BX34">
            <v>0</v>
          </cell>
          <cell r="BY34">
            <v>36</v>
          </cell>
          <cell r="BZ34">
            <v>3</v>
          </cell>
          <cell r="CA34">
            <v>0</v>
          </cell>
          <cell r="CB34">
            <v>66</v>
          </cell>
          <cell r="CC34">
            <v>3</v>
          </cell>
          <cell r="CD34">
            <v>28</v>
          </cell>
          <cell r="CE34">
            <v>542</v>
          </cell>
          <cell r="CF34">
            <v>6</v>
          </cell>
          <cell r="CG34">
            <v>4</v>
          </cell>
          <cell r="CH34">
            <v>1</v>
          </cell>
          <cell r="CI34">
            <v>27</v>
          </cell>
          <cell r="CJ34">
            <v>21</v>
          </cell>
          <cell r="CK34">
            <v>0</v>
          </cell>
        </row>
        <row r="35">
          <cell r="A35" t="str">
            <v>No distribution transformers</v>
          </cell>
          <cell r="B35" t="str">
            <v>NTRFD</v>
          </cell>
          <cell r="C35">
            <v>2007</v>
          </cell>
          <cell r="D35">
            <v>324</v>
          </cell>
          <cell r="E35">
            <v>8938</v>
          </cell>
          <cell r="F35">
            <v>5178</v>
          </cell>
          <cell r="G35">
            <v>3041</v>
          </cell>
          <cell r="H35">
            <v>3436</v>
          </cell>
          <cell r="I35">
            <v>8950</v>
          </cell>
          <cell r="J35">
            <v>2051</v>
          </cell>
          <cell r="K35">
            <v>6853</v>
          </cell>
          <cell r="L35">
            <v>2384</v>
          </cell>
          <cell r="M35">
            <v>836</v>
          </cell>
          <cell r="N35">
            <v>1</v>
          </cell>
          <cell r="O35">
            <v>3600</v>
          </cell>
          <cell r="P35">
            <v>239</v>
          </cell>
          <cell r="Q35">
            <v>288</v>
          </cell>
          <cell r="R35">
            <v>0</v>
          </cell>
          <cell r="S35">
            <v>1538</v>
          </cell>
          <cell r="T35">
            <v>8034</v>
          </cell>
          <cell r="U35">
            <v>742</v>
          </cell>
          <cell r="V35">
            <v>25493</v>
          </cell>
          <cell r="W35">
            <v>1563</v>
          </cell>
          <cell r="X35">
            <v>729</v>
          </cell>
          <cell r="Y35">
            <v>3047</v>
          </cell>
          <cell r="Z35">
            <v>2418</v>
          </cell>
          <cell r="AA35">
            <v>792</v>
          </cell>
          <cell r="AB35">
            <v>75</v>
          </cell>
          <cell r="AC35">
            <v>6000</v>
          </cell>
          <cell r="AD35">
            <v>5496</v>
          </cell>
          <cell r="AE35">
            <v>5066</v>
          </cell>
          <cell r="AF35">
            <v>430</v>
          </cell>
          <cell r="AG35">
            <v>1450</v>
          </cell>
          <cell r="AH35">
            <v>5734</v>
          </cell>
          <cell r="AI35">
            <v>7114</v>
          </cell>
          <cell r="AJ35">
            <v>3580</v>
          </cell>
          <cell r="AK35">
            <v>59</v>
          </cell>
          <cell r="AL35">
            <v>23801</v>
          </cell>
          <cell r="AM35">
            <v>180</v>
          </cell>
          <cell r="AN35">
            <v>738</v>
          </cell>
          <cell r="AO35">
            <v>15028</v>
          </cell>
          <cell r="AP35">
            <v>540842</v>
          </cell>
          <cell r="AQ35">
            <v>39938</v>
          </cell>
          <cell r="AR35">
            <v>3079</v>
          </cell>
          <cell r="AS35">
            <v>688</v>
          </cell>
          <cell r="AT35">
            <v>2200</v>
          </cell>
          <cell r="AU35">
            <v>10048</v>
          </cell>
          <cell r="AV35">
            <v>975</v>
          </cell>
          <cell r="AW35">
            <v>1938</v>
          </cell>
          <cell r="AX35">
            <v>14929</v>
          </cell>
          <cell r="AY35">
            <v>1162</v>
          </cell>
          <cell r="AZ35">
            <v>1235</v>
          </cell>
          <cell r="BA35">
            <v>4559</v>
          </cell>
          <cell r="BB35">
            <v>15</v>
          </cell>
          <cell r="BC35">
            <v>3960</v>
          </cell>
          <cell r="BD35">
            <v>9345</v>
          </cell>
          <cell r="BE35">
            <v>4151</v>
          </cell>
          <cell r="BF35">
            <v>5194</v>
          </cell>
          <cell r="BG35">
            <v>1704</v>
          </cell>
          <cell r="BH35">
            <v>4504</v>
          </cell>
          <cell r="BI35">
            <v>3927</v>
          </cell>
          <cell r="BJ35">
            <v>0</v>
          </cell>
          <cell r="BK35">
            <v>8189</v>
          </cell>
          <cell r="BL35">
            <v>1257</v>
          </cell>
          <cell r="BM35">
            <v>1744</v>
          </cell>
          <cell r="BN35">
            <v>6471</v>
          </cell>
          <cell r="BO35">
            <v>1592</v>
          </cell>
          <cell r="BP35">
            <v>5953</v>
          </cell>
          <cell r="BQ35">
            <v>687</v>
          </cell>
          <cell r="BR35">
            <v>3777</v>
          </cell>
          <cell r="BS35">
            <v>1792</v>
          </cell>
          <cell r="BT35">
            <v>31487</v>
          </cell>
          <cell r="BU35">
            <v>645</v>
          </cell>
          <cell r="BV35">
            <v>965</v>
          </cell>
          <cell r="BW35">
            <v>942</v>
          </cell>
          <cell r="BX35">
            <v>1359</v>
          </cell>
          <cell r="BY35">
            <v>6945</v>
          </cell>
          <cell r="BZ35">
            <v>850</v>
          </cell>
          <cell r="CA35">
            <v>68606</v>
          </cell>
          <cell r="CB35">
            <v>16007</v>
          </cell>
          <cell r="CC35">
            <v>1419</v>
          </cell>
          <cell r="CD35">
            <v>7474</v>
          </cell>
          <cell r="CE35">
            <v>2017</v>
          </cell>
          <cell r="CF35">
            <v>676</v>
          </cell>
          <cell r="CG35">
            <v>433</v>
          </cell>
          <cell r="CH35">
            <v>240</v>
          </cell>
          <cell r="CI35">
            <v>2813</v>
          </cell>
          <cell r="CJ35">
            <v>5201</v>
          </cell>
          <cell r="CK35">
            <v>1607</v>
          </cell>
        </row>
        <row r="36">
          <cell r="A36" t="str">
            <v>Utility average load factor</v>
          </cell>
          <cell r="B36" t="str">
            <v>LF</v>
          </cell>
          <cell r="C36">
            <v>2007</v>
          </cell>
          <cell r="D36">
            <v>73</v>
          </cell>
          <cell r="E36">
            <v>68</v>
          </cell>
          <cell r="F36">
            <v>87</v>
          </cell>
          <cell r="G36">
            <v>65</v>
          </cell>
          <cell r="H36">
            <v>73</v>
          </cell>
          <cell r="I36">
            <v>69</v>
          </cell>
          <cell r="J36">
            <v>73</v>
          </cell>
          <cell r="K36">
            <v>71</v>
          </cell>
          <cell r="L36">
            <v>72</v>
          </cell>
          <cell r="M36">
            <v>70</v>
          </cell>
          <cell r="N36">
            <v>74</v>
          </cell>
          <cell r="O36">
            <v>72</v>
          </cell>
          <cell r="P36">
            <v>66</v>
          </cell>
          <cell r="Q36">
            <v>62</v>
          </cell>
          <cell r="R36">
            <v>0</v>
          </cell>
          <cell r="S36">
            <v>0</v>
          </cell>
          <cell r="T36">
            <v>59</v>
          </cell>
          <cell r="U36">
            <v>69</v>
          </cell>
          <cell r="V36">
            <v>74</v>
          </cell>
          <cell r="W36">
            <v>72</v>
          </cell>
          <cell r="X36">
            <v>71</v>
          </cell>
          <cell r="Y36">
            <v>64</v>
          </cell>
          <cell r="Z36">
            <v>92</v>
          </cell>
          <cell r="AA36">
            <v>70</v>
          </cell>
          <cell r="AB36">
            <v>66</v>
          </cell>
          <cell r="AC36">
            <v>75</v>
          </cell>
          <cell r="AD36">
            <v>0</v>
          </cell>
          <cell r="AE36">
            <v>65</v>
          </cell>
          <cell r="AF36">
            <v>71</v>
          </cell>
          <cell r="AG36">
            <v>61</v>
          </cell>
          <cell r="AH36">
            <v>74</v>
          </cell>
          <cell r="AI36">
            <v>57</v>
          </cell>
          <cell r="AJ36">
            <v>69</v>
          </cell>
          <cell r="AK36">
            <v>71</v>
          </cell>
          <cell r="AL36">
            <v>75</v>
          </cell>
          <cell r="AM36">
            <v>68</v>
          </cell>
          <cell r="AN36">
            <v>69</v>
          </cell>
          <cell r="AO36">
            <v>71</v>
          </cell>
          <cell r="AP36">
            <v>0</v>
          </cell>
          <cell r="AQ36">
            <v>72</v>
          </cell>
          <cell r="AR36">
            <v>55</v>
          </cell>
          <cell r="AS36">
            <v>71</v>
          </cell>
          <cell r="AT36">
            <v>75</v>
          </cell>
          <cell r="AU36">
            <v>70</v>
          </cell>
          <cell r="AV36">
            <v>74</v>
          </cell>
          <cell r="AW36">
            <v>71</v>
          </cell>
          <cell r="AX36">
            <v>58</v>
          </cell>
          <cell r="AY36">
            <v>71</v>
          </cell>
          <cell r="AZ36">
            <v>72</v>
          </cell>
          <cell r="BA36">
            <v>71</v>
          </cell>
          <cell r="BB36">
            <v>0</v>
          </cell>
          <cell r="BC36">
            <v>68</v>
          </cell>
          <cell r="BD36">
            <v>0</v>
          </cell>
          <cell r="BE36">
            <v>0</v>
          </cell>
          <cell r="BF36">
            <v>0</v>
          </cell>
          <cell r="BG36">
            <v>68</v>
          </cell>
          <cell r="BH36">
            <v>0</v>
          </cell>
          <cell r="BI36">
            <v>74</v>
          </cell>
          <cell r="BJ36">
            <v>71</v>
          </cell>
          <cell r="BK36">
            <v>70</v>
          </cell>
          <cell r="BL36">
            <v>70</v>
          </cell>
          <cell r="BM36">
            <v>72</v>
          </cell>
          <cell r="BN36">
            <v>61</v>
          </cell>
          <cell r="BO36">
            <v>72</v>
          </cell>
          <cell r="BP36">
            <v>75</v>
          </cell>
          <cell r="BQ36">
            <v>69928</v>
          </cell>
          <cell r="BR36">
            <v>69</v>
          </cell>
          <cell r="BS36">
            <v>65</v>
          </cell>
          <cell r="BT36">
            <v>0</v>
          </cell>
          <cell r="BU36">
            <v>68</v>
          </cell>
          <cell r="BV36">
            <v>0</v>
          </cell>
          <cell r="BW36">
            <v>8</v>
          </cell>
          <cell r="BX36">
            <v>58</v>
          </cell>
          <cell r="BY36">
            <v>74</v>
          </cell>
          <cell r="BZ36">
            <v>63</v>
          </cell>
          <cell r="CA36">
            <v>73</v>
          </cell>
          <cell r="CB36">
            <v>72</v>
          </cell>
          <cell r="CC36">
            <v>65</v>
          </cell>
          <cell r="CD36">
            <v>70</v>
          </cell>
          <cell r="CE36">
            <v>1013670</v>
          </cell>
          <cell r="CF36">
            <v>88</v>
          </cell>
          <cell r="CG36">
            <v>75</v>
          </cell>
          <cell r="CH36">
            <v>68</v>
          </cell>
          <cell r="CI36">
            <v>71</v>
          </cell>
          <cell r="CJ36">
            <v>68</v>
          </cell>
          <cell r="CK36">
            <v>70</v>
          </cell>
        </row>
      </sheetData>
      <sheetData sheetId="8" refreshError="1">
        <row r="1">
          <cell r="A1" t="str">
            <v>Distributor Data for Year ended Dec 31st, 2008</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Plant Additions</v>
          </cell>
          <cell r="B6" t="str">
            <v>PADD</v>
          </cell>
          <cell r="C6">
            <v>2008</v>
          </cell>
          <cell r="D6">
            <v>335031.3</v>
          </cell>
          <cell r="E6">
            <v>15218526</v>
          </cell>
          <cell r="F6">
            <v>4973246</v>
          </cell>
          <cell r="G6">
            <v>1351300</v>
          </cell>
          <cell r="H6">
            <v>5934691</v>
          </cell>
          <cell r="I6">
            <v>11059871.91</v>
          </cell>
          <cell r="J6">
            <v>2704891.27</v>
          </cell>
          <cell r="K6">
            <v>8395572.6099999994</v>
          </cell>
          <cell r="L6">
            <v>5019497.78</v>
          </cell>
          <cell r="M6">
            <v>387900.58</v>
          </cell>
          <cell r="N6">
            <v>42373.74</v>
          </cell>
          <cell r="O6">
            <v>5347119</v>
          </cell>
          <cell r="P6">
            <v>0</v>
          </cell>
          <cell r="Q6">
            <v>128978.46</v>
          </cell>
          <cell r="R6">
            <v>0</v>
          </cell>
          <cell r="S6">
            <v>1199448.0900000001</v>
          </cell>
          <cell r="T6">
            <v>10038321</v>
          </cell>
          <cell r="U6">
            <v>1097304.8600000001</v>
          </cell>
          <cell r="V6">
            <v>49396513</v>
          </cell>
          <cell r="W6">
            <v>2165216.08</v>
          </cell>
          <cell r="X6">
            <v>232702.58</v>
          </cell>
          <cell r="Y6">
            <v>6069658</v>
          </cell>
          <cell r="Z6">
            <v>5469756.9800000004</v>
          </cell>
          <cell r="AA6">
            <v>160373</v>
          </cell>
          <cell r="AB6">
            <v>76189</v>
          </cell>
          <cell r="AC6">
            <v>11609629</v>
          </cell>
          <cell r="AD6">
            <v>8094590</v>
          </cell>
          <cell r="AE6">
            <v>959420.49</v>
          </cell>
          <cell r="AF6">
            <v>13599866.039999999</v>
          </cell>
          <cell r="AG6">
            <v>4937016</v>
          </cell>
          <cell r="AH6">
            <v>3306411</v>
          </cell>
          <cell r="AI6">
            <v>114484.46</v>
          </cell>
          <cell r="AJ6">
            <v>41743793</v>
          </cell>
          <cell r="AK6">
            <v>199904</v>
          </cell>
          <cell r="AL6">
            <v>172758.14</v>
          </cell>
          <cell r="AM6">
            <v>25551586</v>
          </cell>
          <cell r="AN6">
            <v>541500000</v>
          </cell>
          <cell r="AO6">
            <v>68160413</v>
          </cell>
          <cell r="AP6">
            <v>2398380.2000000002</v>
          </cell>
          <cell r="AQ6">
            <v>649292.38</v>
          </cell>
          <cell r="AR6">
            <v>3757161</v>
          </cell>
          <cell r="AS6">
            <v>17929962.140000001</v>
          </cell>
          <cell r="AT6">
            <v>1469906.81</v>
          </cell>
          <cell r="AU6">
            <v>1478461.32</v>
          </cell>
          <cell r="AV6">
            <v>28239054</v>
          </cell>
          <cell r="AW6">
            <v>1116382</v>
          </cell>
          <cell r="AX6">
            <v>2008954.33</v>
          </cell>
          <cell r="AY6">
            <v>6513565.8499999996</v>
          </cell>
          <cell r="AZ6">
            <v>0</v>
          </cell>
          <cell r="BA6">
            <v>7050993.4299999997</v>
          </cell>
          <cell r="BB6">
            <v>15400649.359999999</v>
          </cell>
          <cell r="BC6">
            <v>1681902.6</v>
          </cell>
          <cell r="BD6">
            <v>4276639</v>
          </cell>
          <cell r="BE6">
            <v>5078898.0599999996</v>
          </cell>
          <cell r="BF6">
            <v>591028</v>
          </cell>
          <cell r="BG6">
            <v>19368314</v>
          </cell>
          <cell r="BH6">
            <v>1492908.2</v>
          </cell>
          <cell r="BI6">
            <v>2251561</v>
          </cell>
          <cell r="BJ6">
            <v>9942000</v>
          </cell>
          <cell r="BK6">
            <v>804554.98</v>
          </cell>
          <cell r="BL6">
            <v>4939789</v>
          </cell>
          <cell r="BM6">
            <v>667281.55000000005</v>
          </cell>
          <cell r="BN6">
            <v>4409757</v>
          </cell>
          <cell r="BO6">
            <v>1803889.06</v>
          </cell>
          <cell r="BP6">
            <v>74602622.980000004</v>
          </cell>
          <cell r="BQ6">
            <v>368204</v>
          </cell>
          <cell r="BR6">
            <v>576549.17000000004</v>
          </cell>
          <cell r="BS6">
            <v>440124.3</v>
          </cell>
          <cell r="BT6">
            <v>2558791.52</v>
          </cell>
          <cell r="BU6">
            <v>7822358</v>
          </cell>
          <cell r="BV6">
            <v>917687</v>
          </cell>
          <cell r="BW6">
            <v>227916609</v>
          </cell>
          <cell r="BX6">
            <v>17111921</v>
          </cell>
          <cell r="BY6">
            <v>1968842.49</v>
          </cell>
          <cell r="BZ6">
            <v>14448141</v>
          </cell>
          <cell r="CA6">
            <v>2254765</v>
          </cell>
          <cell r="CB6">
            <v>1401159</v>
          </cell>
          <cell r="CC6">
            <v>348736</v>
          </cell>
          <cell r="CD6">
            <v>180411</v>
          </cell>
          <cell r="CE6">
            <v>6674936</v>
          </cell>
          <cell r="CF6">
            <v>7504184</v>
          </cell>
          <cell r="CG6">
            <v>3900263.58</v>
          </cell>
        </row>
        <row r="7">
          <cell r="A7" t="str">
            <v>OM&amp;A Expense</v>
          </cell>
          <cell r="B7" t="str">
            <v>COMA</v>
          </cell>
          <cell r="C7">
            <v>2008</v>
          </cell>
          <cell r="D7">
            <v>838668.86</v>
          </cell>
          <cell r="E7">
            <v>10137547</v>
          </cell>
          <cell r="F7">
            <v>8965563</v>
          </cell>
          <cell r="G7">
            <v>3210945.14</v>
          </cell>
          <cell r="H7">
            <v>7528624.5530000003</v>
          </cell>
          <cell r="I7">
            <v>12638483.060000001</v>
          </cell>
          <cell r="J7">
            <v>3479392.53</v>
          </cell>
          <cell r="K7">
            <v>8704501</v>
          </cell>
          <cell r="L7">
            <v>4369848.6199999992</v>
          </cell>
          <cell r="M7">
            <v>1561746.15</v>
          </cell>
          <cell r="N7">
            <v>580666.64</v>
          </cell>
          <cell r="O7">
            <v>5434315.1999999993</v>
          </cell>
          <cell r="P7">
            <v>0</v>
          </cell>
          <cell r="Q7">
            <v>404632.86</v>
          </cell>
          <cell r="R7">
            <v>0</v>
          </cell>
          <cell r="S7">
            <v>1885608.0899999996</v>
          </cell>
          <cell r="T7">
            <v>20700532</v>
          </cell>
          <cell r="U7">
            <v>1071488.0299999998</v>
          </cell>
          <cell r="V7">
            <v>42361149</v>
          </cell>
          <cell r="W7">
            <v>4852017.49</v>
          </cell>
          <cell r="X7">
            <v>995486.29</v>
          </cell>
          <cell r="Y7">
            <v>5142312.67</v>
          </cell>
          <cell r="Z7">
            <v>3528621.44</v>
          </cell>
          <cell r="AA7">
            <v>1257859.71</v>
          </cell>
          <cell r="AB7">
            <v>206511.08</v>
          </cell>
          <cell r="AC7">
            <v>8472982.2799999993</v>
          </cell>
          <cell r="AD7">
            <v>10563085.060000001</v>
          </cell>
          <cell r="AE7">
            <v>1744924.6500000001</v>
          </cell>
          <cell r="AF7">
            <v>9950466.1999999993</v>
          </cell>
          <cell r="AG7">
            <v>6934686.3399999999</v>
          </cell>
          <cell r="AH7">
            <v>4979699</v>
          </cell>
          <cell r="AI7">
            <v>677866.85800000012</v>
          </cell>
          <cell r="AJ7">
            <v>39288448.700000003</v>
          </cell>
          <cell r="AK7">
            <v>235812.40000000002</v>
          </cell>
          <cell r="AL7">
            <v>790094.16999999993</v>
          </cell>
          <cell r="AM7">
            <v>17791258.670000002</v>
          </cell>
          <cell r="AN7">
            <v>447646800</v>
          </cell>
          <cell r="AO7">
            <v>49866448.300000004</v>
          </cell>
          <cell r="AP7">
            <v>3488595.34</v>
          </cell>
          <cell r="AQ7">
            <v>1546797.05</v>
          </cell>
          <cell r="AR7">
            <v>4990520.66</v>
          </cell>
          <cell r="AS7">
            <v>12336072.51</v>
          </cell>
          <cell r="AT7">
            <v>1854928.2899999998</v>
          </cell>
          <cell r="AU7">
            <v>2679086.5300000003</v>
          </cell>
          <cell r="AV7">
            <v>26118186.039999999</v>
          </cell>
          <cell r="AW7">
            <v>1415406.5600000003</v>
          </cell>
          <cell r="AX7">
            <v>1715833.24</v>
          </cell>
          <cell r="AY7">
            <v>4971485.8500000006</v>
          </cell>
          <cell r="AZ7">
            <v>0</v>
          </cell>
          <cell r="BA7">
            <v>6214558.9799999995</v>
          </cell>
          <cell r="BB7">
            <v>12501129.92</v>
          </cell>
          <cell r="BC7">
            <v>1686713.6100000003</v>
          </cell>
          <cell r="BD7">
            <v>5132563.7199999988</v>
          </cell>
          <cell r="BE7">
            <v>4844870.040000001</v>
          </cell>
          <cell r="BF7">
            <v>1916695.16</v>
          </cell>
          <cell r="BG7">
            <v>9625878.9100000001</v>
          </cell>
          <cell r="BH7">
            <v>2156890.44</v>
          </cell>
          <cell r="BI7">
            <v>3737525.09</v>
          </cell>
          <cell r="BJ7">
            <v>8435686.1600000001</v>
          </cell>
          <cell r="BK7">
            <v>2313764.75</v>
          </cell>
          <cell r="BL7">
            <v>7022128</v>
          </cell>
          <cell r="BM7">
            <v>1171644.75</v>
          </cell>
          <cell r="BN7">
            <v>6882938.25</v>
          </cell>
          <cell r="BO7">
            <v>3648126.04</v>
          </cell>
          <cell r="BP7">
            <v>42942386.100000001</v>
          </cell>
          <cell r="BQ7">
            <v>1027939.27</v>
          </cell>
          <cell r="BR7">
            <v>1461898.3399999999</v>
          </cell>
          <cell r="BS7">
            <v>1124817.5599999998</v>
          </cell>
          <cell r="BT7">
            <v>3075601.4</v>
          </cell>
          <cell r="BU7">
            <v>11457312.399999999</v>
          </cell>
          <cell r="BV7">
            <v>1616901.99</v>
          </cell>
          <cell r="BW7">
            <v>160614322.36999997</v>
          </cell>
          <cell r="BX7">
            <v>18447671</v>
          </cell>
          <cell r="BY7">
            <v>1870154.3800000001</v>
          </cell>
          <cell r="BZ7">
            <v>8620992.3099999987</v>
          </cell>
          <cell r="CA7">
            <v>4486554.82</v>
          </cell>
          <cell r="CB7">
            <v>1190255.3599999999</v>
          </cell>
          <cell r="CC7">
            <v>1291065</v>
          </cell>
          <cell r="CD7">
            <v>586433.19000000006</v>
          </cell>
          <cell r="CE7">
            <v>4867998</v>
          </cell>
          <cell r="CF7">
            <v>7844132.5199999996</v>
          </cell>
          <cell r="CG7">
            <v>3215677.7</v>
          </cell>
        </row>
        <row r="8">
          <cell r="A8" t="str">
            <v>Income Taxes</v>
          </cell>
          <cell r="B8" t="str">
            <v>CTAXINC</v>
          </cell>
          <cell r="C8">
            <v>2008</v>
          </cell>
          <cell r="D8">
            <v>9090</v>
          </cell>
          <cell r="E8">
            <v>3718000</v>
          </cell>
          <cell r="F8">
            <v>816403</v>
          </cell>
          <cell r="G8">
            <v>698563</v>
          </cell>
          <cell r="H8">
            <v>1232713</v>
          </cell>
          <cell r="I8">
            <v>2024770.84</v>
          </cell>
          <cell r="J8">
            <v>80802.460000000006</v>
          </cell>
          <cell r="K8">
            <v>2416720</v>
          </cell>
          <cell r="L8">
            <v>319735</v>
          </cell>
          <cell r="M8">
            <v>123859</v>
          </cell>
          <cell r="N8">
            <v>0</v>
          </cell>
          <cell r="O8">
            <v>1069953.71</v>
          </cell>
          <cell r="P8">
            <v>0</v>
          </cell>
          <cell r="Q8">
            <v>29268</v>
          </cell>
          <cell r="R8">
            <v>0</v>
          </cell>
          <cell r="S8">
            <v>815549</v>
          </cell>
          <cell r="T8">
            <v>3875000</v>
          </cell>
          <cell r="U8">
            <v>-73170</v>
          </cell>
          <cell r="V8">
            <v>11512162</v>
          </cell>
          <cell r="W8">
            <v>372520.37</v>
          </cell>
          <cell r="X8">
            <v>0</v>
          </cell>
          <cell r="Y8">
            <v>770997.25</v>
          </cell>
          <cell r="Z8">
            <v>872000</v>
          </cell>
          <cell r="AA8">
            <v>-5294</v>
          </cell>
          <cell r="AB8">
            <v>0</v>
          </cell>
          <cell r="AC8">
            <v>1580251.13</v>
          </cell>
          <cell r="AD8">
            <v>2559390</v>
          </cell>
          <cell r="AE8">
            <v>160355.99</v>
          </cell>
          <cell r="AF8">
            <v>1710174.7</v>
          </cell>
          <cell r="AG8">
            <v>1292295.19</v>
          </cell>
          <cell r="AH8">
            <v>708593</v>
          </cell>
          <cell r="AI8">
            <v>1800</v>
          </cell>
          <cell r="AJ8">
            <v>6225339.2699999996</v>
          </cell>
          <cell r="AK8">
            <v>-14517</v>
          </cell>
          <cell r="AL8">
            <v>74302</v>
          </cell>
          <cell r="AM8">
            <v>8199870</v>
          </cell>
          <cell r="AN8">
            <v>62655800</v>
          </cell>
          <cell r="AO8">
            <v>12470203</v>
          </cell>
          <cell r="AP8">
            <v>399640</v>
          </cell>
          <cell r="AQ8">
            <v>22279</v>
          </cell>
          <cell r="AR8">
            <v>942927</v>
          </cell>
          <cell r="AS8">
            <v>2822558.78</v>
          </cell>
          <cell r="AT8">
            <v>557612.89</v>
          </cell>
          <cell r="AU8">
            <v>174376</v>
          </cell>
          <cell r="AV8">
            <v>3231771</v>
          </cell>
          <cell r="AW8">
            <v>164072.85999999999</v>
          </cell>
          <cell r="AX8">
            <v>270500</v>
          </cell>
          <cell r="AY8">
            <v>814047</v>
          </cell>
          <cell r="AZ8">
            <v>0</v>
          </cell>
          <cell r="BA8">
            <v>1607995.55</v>
          </cell>
          <cell r="BB8">
            <v>1472780.77</v>
          </cell>
          <cell r="BC8">
            <v>280101.74</v>
          </cell>
          <cell r="BD8">
            <v>621013</v>
          </cell>
          <cell r="BE8">
            <v>643734</v>
          </cell>
          <cell r="BF8">
            <v>17018</v>
          </cell>
          <cell r="BG8">
            <v>2628032.0499999998</v>
          </cell>
          <cell r="BH8">
            <v>406026</v>
          </cell>
          <cell r="BI8">
            <v>473000</v>
          </cell>
          <cell r="BJ8">
            <v>1933850.08</v>
          </cell>
          <cell r="BK8">
            <v>92372</v>
          </cell>
          <cell r="BL8">
            <v>1045700</v>
          </cell>
          <cell r="BM8">
            <v>56441</v>
          </cell>
          <cell r="BN8">
            <v>811656</v>
          </cell>
          <cell r="BO8">
            <v>62063</v>
          </cell>
          <cell r="BP8">
            <v>7430468.75</v>
          </cell>
          <cell r="BQ8">
            <v>25099</v>
          </cell>
          <cell r="BR8">
            <v>23799</v>
          </cell>
          <cell r="BS8">
            <v>25818</v>
          </cell>
          <cell r="BT8">
            <v>677819.9</v>
          </cell>
          <cell r="BU8">
            <v>963000</v>
          </cell>
          <cell r="BV8">
            <v>45648</v>
          </cell>
          <cell r="BW8">
            <v>8968713</v>
          </cell>
          <cell r="BX8">
            <v>4297652</v>
          </cell>
          <cell r="BY8">
            <v>272196.90999999997</v>
          </cell>
          <cell r="BZ8">
            <v>1776795.96</v>
          </cell>
          <cell r="CA8">
            <v>393212.33</v>
          </cell>
          <cell r="CB8">
            <v>-10158</v>
          </cell>
          <cell r="CC8">
            <v>41822</v>
          </cell>
          <cell r="CD8">
            <v>0</v>
          </cell>
          <cell r="CE8">
            <v>52690</v>
          </cell>
          <cell r="CF8">
            <v>2794834</v>
          </cell>
          <cell r="CG8">
            <v>453777.5</v>
          </cell>
        </row>
        <row r="9">
          <cell r="A9" t="str">
            <v>Customers</v>
          </cell>
          <cell r="B9" t="str">
            <v>YN</v>
          </cell>
          <cell r="C9">
            <v>2008</v>
          </cell>
          <cell r="D9">
            <v>1676</v>
          </cell>
          <cell r="E9">
            <v>69628</v>
          </cell>
          <cell r="F9">
            <v>36218</v>
          </cell>
          <cell r="G9">
            <v>9456</v>
          </cell>
          <cell r="H9">
            <v>37473</v>
          </cell>
          <cell r="I9">
            <v>62737</v>
          </cell>
          <cell r="J9">
            <v>14387</v>
          </cell>
          <cell r="K9">
            <v>49297</v>
          </cell>
          <cell r="L9">
            <v>15616</v>
          </cell>
          <cell r="M9">
            <v>6309</v>
          </cell>
          <cell r="N9">
            <v>1335</v>
          </cell>
          <cell r="O9">
            <v>32094</v>
          </cell>
          <cell r="P9">
            <v>0</v>
          </cell>
          <cell r="Q9">
            <v>1936</v>
          </cell>
          <cell r="R9">
            <v>0</v>
          </cell>
          <cell r="S9">
            <v>10853</v>
          </cell>
          <cell r="T9">
            <v>84644</v>
          </cell>
          <cell r="U9">
            <v>3543</v>
          </cell>
          <cell r="V9">
            <v>186929</v>
          </cell>
          <cell r="W9">
            <v>14312</v>
          </cell>
          <cell r="X9">
            <v>3349</v>
          </cell>
          <cell r="Y9">
            <v>27929</v>
          </cell>
          <cell r="Z9">
            <v>19394</v>
          </cell>
          <cell r="AA9">
            <v>4001</v>
          </cell>
          <cell r="AB9">
            <v>681</v>
          </cell>
          <cell r="AC9">
            <v>11587</v>
          </cell>
          <cell r="AD9">
            <v>46215</v>
          </cell>
          <cell r="AE9">
            <v>9937</v>
          </cell>
          <cell r="AF9">
            <v>48914</v>
          </cell>
          <cell r="AG9">
            <v>20815</v>
          </cell>
          <cell r="AH9">
            <v>20818</v>
          </cell>
          <cell r="AI9">
            <v>2763</v>
          </cell>
          <cell r="AJ9">
            <v>233947</v>
          </cell>
          <cell r="AK9">
            <v>1177</v>
          </cell>
          <cell r="AL9">
            <v>5375</v>
          </cell>
          <cell r="AM9">
            <v>129585</v>
          </cell>
          <cell r="AN9">
            <v>1187253</v>
          </cell>
          <cell r="AO9">
            <v>291639</v>
          </cell>
          <cell r="AP9">
            <v>14471</v>
          </cell>
          <cell r="AQ9">
            <v>5583</v>
          </cell>
          <cell r="AR9">
            <v>26940</v>
          </cell>
          <cell r="AS9">
            <v>84195</v>
          </cell>
          <cell r="AT9">
            <v>9215</v>
          </cell>
          <cell r="AU9">
            <v>9295</v>
          </cell>
          <cell r="AV9">
            <v>143797</v>
          </cell>
          <cell r="AW9">
            <v>7026</v>
          </cell>
          <cell r="AX9">
            <v>6773</v>
          </cell>
          <cell r="AY9">
            <v>25373</v>
          </cell>
          <cell r="AZ9">
            <v>0</v>
          </cell>
          <cell r="BA9">
            <v>31874</v>
          </cell>
          <cell r="BB9">
            <v>50255</v>
          </cell>
          <cell r="BC9">
            <v>7798</v>
          </cell>
          <cell r="BD9">
            <v>18806</v>
          </cell>
          <cell r="BE9">
            <v>23669</v>
          </cell>
          <cell r="BF9">
            <v>6055</v>
          </cell>
          <cell r="BG9">
            <v>62038</v>
          </cell>
          <cell r="BH9">
            <v>10200</v>
          </cell>
          <cell r="BI9">
            <v>12797</v>
          </cell>
          <cell r="BJ9">
            <v>51813</v>
          </cell>
          <cell r="BK9">
            <v>10381</v>
          </cell>
          <cell r="BL9">
            <v>32734</v>
          </cell>
          <cell r="BM9">
            <v>3356</v>
          </cell>
          <cell r="BN9">
            <v>34349</v>
          </cell>
          <cell r="BO9">
            <v>9229</v>
          </cell>
          <cell r="BP9">
            <v>244573</v>
          </cell>
          <cell r="BQ9">
            <v>4194</v>
          </cell>
          <cell r="BR9">
            <v>5859</v>
          </cell>
          <cell r="BS9">
            <v>2734</v>
          </cell>
          <cell r="BT9">
            <v>16133</v>
          </cell>
          <cell r="BU9">
            <v>49361</v>
          </cell>
          <cell r="BV9">
            <v>6622</v>
          </cell>
          <cell r="BW9">
            <v>684145</v>
          </cell>
          <cell r="BX9">
            <v>110861</v>
          </cell>
          <cell r="BY9">
            <v>11660</v>
          </cell>
          <cell r="BZ9">
            <v>50478</v>
          </cell>
          <cell r="CA9">
            <v>21706</v>
          </cell>
          <cell r="CB9">
            <v>3535</v>
          </cell>
          <cell r="CC9">
            <v>3878</v>
          </cell>
          <cell r="CD9">
            <v>2007</v>
          </cell>
          <cell r="CE9">
            <v>21592</v>
          </cell>
          <cell r="CF9">
            <v>39225</v>
          </cell>
          <cell r="CG9">
            <v>14645</v>
          </cell>
        </row>
        <row r="10">
          <cell r="A10" t="str">
            <v>Customers - Residential</v>
          </cell>
          <cell r="B10" t="str">
            <v>YNR</v>
          </cell>
          <cell r="C10">
            <v>2008</v>
          </cell>
          <cell r="D10">
            <v>1416</v>
          </cell>
          <cell r="E10">
            <v>62513</v>
          </cell>
          <cell r="F10">
            <v>31626</v>
          </cell>
          <cell r="G10">
            <v>8066</v>
          </cell>
          <cell r="H10">
            <v>33869</v>
          </cell>
          <cell r="I10">
            <v>56839</v>
          </cell>
          <cell r="J10">
            <v>12700</v>
          </cell>
          <cell r="K10">
            <v>43918</v>
          </cell>
          <cell r="L10">
            <v>14182</v>
          </cell>
          <cell r="M10">
            <v>5562</v>
          </cell>
          <cell r="N10">
            <v>1148</v>
          </cell>
          <cell r="O10">
            <v>28504</v>
          </cell>
          <cell r="P10">
            <v>0</v>
          </cell>
          <cell r="Q10">
            <v>1743</v>
          </cell>
          <cell r="R10">
            <v>0</v>
          </cell>
          <cell r="S10">
            <v>9638</v>
          </cell>
          <cell r="T10">
            <v>76400</v>
          </cell>
          <cell r="U10">
            <v>3100</v>
          </cell>
          <cell r="V10">
            <v>165882</v>
          </cell>
          <cell r="W10">
            <v>12747</v>
          </cell>
          <cell r="X10">
            <v>2848</v>
          </cell>
          <cell r="Y10">
            <v>25711</v>
          </cell>
          <cell r="Z10">
            <v>17178</v>
          </cell>
          <cell r="AA10">
            <v>3520</v>
          </cell>
          <cell r="AB10">
            <v>594</v>
          </cell>
          <cell r="AC10">
            <v>10601</v>
          </cell>
          <cell r="AD10">
            <v>41634</v>
          </cell>
          <cell r="AE10">
            <v>9092</v>
          </cell>
          <cell r="AF10">
            <v>44640</v>
          </cell>
          <cell r="AG10">
            <v>18245</v>
          </cell>
          <cell r="AH10">
            <v>18881</v>
          </cell>
          <cell r="AI10">
            <v>2327</v>
          </cell>
          <cell r="AJ10">
            <v>211826</v>
          </cell>
          <cell r="AK10">
            <v>1019</v>
          </cell>
          <cell r="AL10">
            <v>4724</v>
          </cell>
          <cell r="AM10">
            <v>120395</v>
          </cell>
          <cell r="AN10">
            <v>1077500</v>
          </cell>
          <cell r="AO10">
            <v>264958</v>
          </cell>
          <cell r="AP10">
            <v>13472</v>
          </cell>
          <cell r="AQ10">
            <v>4790</v>
          </cell>
          <cell r="AR10">
            <v>23142</v>
          </cell>
          <cell r="AS10">
            <v>75847</v>
          </cell>
          <cell r="AT10">
            <v>7942</v>
          </cell>
          <cell r="AU10">
            <v>7605</v>
          </cell>
          <cell r="AV10">
            <v>130245</v>
          </cell>
          <cell r="AW10">
            <v>6246</v>
          </cell>
          <cell r="AX10">
            <v>5935</v>
          </cell>
          <cell r="AY10">
            <v>22755</v>
          </cell>
          <cell r="AZ10">
            <v>0</v>
          </cell>
          <cell r="BA10">
            <v>28484</v>
          </cell>
          <cell r="BB10">
            <v>45053</v>
          </cell>
          <cell r="BC10">
            <v>6436</v>
          </cell>
          <cell r="BD10">
            <v>16547</v>
          </cell>
          <cell r="BE10">
            <v>20757</v>
          </cell>
          <cell r="BF10">
            <v>5214</v>
          </cell>
          <cell r="BG10">
            <v>55658</v>
          </cell>
          <cell r="BH10">
            <v>9056</v>
          </cell>
          <cell r="BI10">
            <v>11261</v>
          </cell>
          <cell r="BJ10">
            <v>47436</v>
          </cell>
          <cell r="BK10">
            <v>8809</v>
          </cell>
          <cell r="BL10">
            <v>28915</v>
          </cell>
          <cell r="BM10">
            <v>2723</v>
          </cell>
          <cell r="BN10">
            <v>30342</v>
          </cell>
          <cell r="BO10">
            <v>8151</v>
          </cell>
          <cell r="BP10">
            <v>215323</v>
          </cell>
          <cell r="BQ10">
            <v>3603</v>
          </cell>
          <cell r="BR10">
            <v>4966</v>
          </cell>
          <cell r="BS10">
            <v>2302</v>
          </cell>
          <cell r="BT10">
            <v>14260</v>
          </cell>
          <cell r="BU10">
            <v>44351</v>
          </cell>
          <cell r="BV10">
            <v>5877</v>
          </cell>
          <cell r="BW10">
            <v>605509</v>
          </cell>
          <cell r="BX10">
            <v>100534</v>
          </cell>
          <cell r="BY10">
            <v>10833</v>
          </cell>
          <cell r="BZ10">
            <v>44593</v>
          </cell>
          <cell r="CA10">
            <v>19601</v>
          </cell>
          <cell r="CB10">
            <v>3022</v>
          </cell>
          <cell r="CC10">
            <v>3315</v>
          </cell>
          <cell r="CD10">
            <v>1748</v>
          </cell>
          <cell r="CE10">
            <v>18879</v>
          </cell>
          <cell r="CF10">
            <v>36496</v>
          </cell>
          <cell r="CG10">
            <v>13240</v>
          </cell>
        </row>
        <row r="11">
          <cell r="A11" t="str">
            <v>Customers - Other</v>
          </cell>
          <cell r="B11" t="str">
            <v>YNO</v>
          </cell>
          <cell r="C11">
            <v>2008</v>
          </cell>
          <cell r="D11">
            <v>260</v>
          </cell>
          <cell r="E11">
            <v>7115</v>
          </cell>
          <cell r="F11">
            <v>4592</v>
          </cell>
          <cell r="G11">
            <v>1390</v>
          </cell>
          <cell r="H11">
            <v>3604</v>
          </cell>
          <cell r="I11">
            <v>5898</v>
          </cell>
          <cell r="J11">
            <v>1687</v>
          </cell>
          <cell r="K11">
            <v>5379</v>
          </cell>
          <cell r="L11">
            <v>1434</v>
          </cell>
          <cell r="M11">
            <v>747</v>
          </cell>
          <cell r="N11">
            <v>187</v>
          </cell>
          <cell r="O11">
            <v>3590</v>
          </cell>
          <cell r="P11">
            <v>0</v>
          </cell>
          <cell r="Q11">
            <v>193</v>
          </cell>
          <cell r="R11">
            <v>0</v>
          </cell>
          <cell r="S11">
            <v>1215</v>
          </cell>
          <cell r="T11">
            <v>8244</v>
          </cell>
          <cell r="U11">
            <v>443</v>
          </cell>
          <cell r="V11">
            <v>21047</v>
          </cell>
          <cell r="W11">
            <v>1565</v>
          </cell>
          <cell r="X11">
            <v>501</v>
          </cell>
          <cell r="Y11">
            <v>2218</v>
          </cell>
          <cell r="Z11">
            <v>2216</v>
          </cell>
          <cell r="AA11">
            <v>481</v>
          </cell>
          <cell r="AB11">
            <v>87</v>
          </cell>
          <cell r="AC11">
            <v>986</v>
          </cell>
          <cell r="AD11">
            <v>4581</v>
          </cell>
          <cell r="AE11">
            <v>845</v>
          </cell>
          <cell r="AF11">
            <v>4274</v>
          </cell>
          <cell r="AG11">
            <v>2570</v>
          </cell>
          <cell r="AH11">
            <v>1937</v>
          </cell>
          <cell r="AI11">
            <v>436</v>
          </cell>
          <cell r="AJ11">
            <v>22121</v>
          </cell>
          <cell r="AK11">
            <v>158</v>
          </cell>
          <cell r="AL11">
            <v>651</v>
          </cell>
          <cell r="AM11">
            <v>9190</v>
          </cell>
          <cell r="AN11">
            <v>109753</v>
          </cell>
          <cell r="AO11">
            <v>26681</v>
          </cell>
          <cell r="AP11">
            <v>999</v>
          </cell>
          <cell r="AQ11">
            <v>793</v>
          </cell>
          <cell r="AR11">
            <v>3798</v>
          </cell>
          <cell r="AS11">
            <v>8348</v>
          </cell>
          <cell r="AT11">
            <v>1273</v>
          </cell>
          <cell r="AU11">
            <v>1690</v>
          </cell>
          <cell r="AV11">
            <v>13552</v>
          </cell>
          <cell r="AW11">
            <v>780</v>
          </cell>
          <cell r="AX11">
            <v>838</v>
          </cell>
          <cell r="AY11">
            <v>2618</v>
          </cell>
          <cell r="AZ11">
            <v>0</v>
          </cell>
          <cell r="BA11">
            <v>3390</v>
          </cell>
          <cell r="BB11">
            <v>5202</v>
          </cell>
          <cell r="BC11">
            <v>1362</v>
          </cell>
          <cell r="BD11">
            <v>2259</v>
          </cell>
          <cell r="BE11">
            <v>2912</v>
          </cell>
          <cell r="BF11">
            <v>841</v>
          </cell>
          <cell r="BG11">
            <v>6380</v>
          </cell>
          <cell r="BH11">
            <v>1144</v>
          </cell>
          <cell r="BI11">
            <v>1536</v>
          </cell>
          <cell r="BJ11">
            <v>4377</v>
          </cell>
          <cell r="BK11">
            <v>1572</v>
          </cell>
          <cell r="BL11">
            <v>3819</v>
          </cell>
          <cell r="BM11">
            <v>633</v>
          </cell>
          <cell r="BN11">
            <v>4007</v>
          </cell>
          <cell r="BO11">
            <v>1078</v>
          </cell>
          <cell r="BP11">
            <v>29250</v>
          </cell>
          <cell r="BQ11">
            <v>591</v>
          </cell>
          <cell r="BR11">
            <v>893</v>
          </cell>
          <cell r="BS11">
            <v>432</v>
          </cell>
          <cell r="BT11">
            <v>1873</v>
          </cell>
          <cell r="BU11">
            <v>5010</v>
          </cell>
          <cell r="BV11">
            <v>745</v>
          </cell>
          <cell r="BW11">
            <v>78636</v>
          </cell>
          <cell r="BX11">
            <v>10327</v>
          </cell>
          <cell r="BY11">
            <v>827</v>
          </cell>
          <cell r="BZ11">
            <v>5885</v>
          </cell>
          <cell r="CA11">
            <v>2105</v>
          </cell>
          <cell r="CB11">
            <v>513</v>
          </cell>
          <cell r="CC11">
            <v>563</v>
          </cell>
          <cell r="CD11">
            <v>259</v>
          </cell>
          <cell r="CE11">
            <v>2713</v>
          </cell>
          <cell r="CF11">
            <v>2729</v>
          </cell>
          <cell r="CG11">
            <v>1405</v>
          </cell>
        </row>
        <row r="12">
          <cell r="A12" t="str">
            <v>kWh</v>
          </cell>
          <cell r="B12" t="str">
            <v>YV</v>
          </cell>
          <cell r="C12">
            <v>2008</v>
          </cell>
          <cell r="D12">
            <v>26557829</v>
          </cell>
          <cell r="E12">
            <v>1539165665</v>
          </cell>
          <cell r="F12">
            <v>1092208914</v>
          </cell>
          <cell r="G12">
            <v>282717136</v>
          </cell>
          <cell r="H12">
            <v>1019524613</v>
          </cell>
          <cell r="I12">
            <v>1725723668</v>
          </cell>
          <cell r="J12">
            <v>322535808</v>
          </cell>
          <cell r="K12">
            <v>1519758329</v>
          </cell>
          <cell r="L12">
            <v>287833003</v>
          </cell>
          <cell r="M12">
            <v>169766970</v>
          </cell>
          <cell r="N12">
            <v>28582032</v>
          </cell>
          <cell r="O12">
            <v>818165741</v>
          </cell>
          <cell r="P12">
            <v>0</v>
          </cell>
          <cell r="Q12">
            <v>29483564</v>
          </cell>
          <cell r="R12">
            <v>0</v>
          </cell>
          <cell r="S12">
            <v>252650781.16999999</v>
          </cell>
          <cell r="T12">
            <v>2456938199</v>
          </cell>
          <cell r="U12">
            <v>62983629</v>
          </cell>
          <cell r="V12">
            <v>8095934029</v>
          </cell>
          <cell r="W12">
            <v>397240750.66999996</v>
          </cell>
          <cell r="X12">
            <v>63594843</v>
          </cell>
          <cell r="Y12">
            <v>546871555.94999993</v>
          </cell>
          <cell r="Z12">
            <v>593387454</v>
          </cell>
          <cell r="AA12">
            <v>84002098</v>
          </cell>
          <cell r="AB12">
            <v>9083254</v>
          </cell>
          <cell r="AC12">
            <v>178230984.19999999</v>
          </cell>
          <cell r="AD12">
            <v>966826977.00999999</v>
          </cell>
          <cell r="AE12">
            <v>180714045.76999998</v>
          </cell>
          <cell r="AF12">
            <v>1599755326.1699998</v>
          </cell>
          <cell r="AG12">
            <v>352084248</v>
          </cell>
          <cell r="AH12">
            <v>500675922.25999999</v>
          </cell>
          <cell r="AI12">
            <v>84590449</v>
          </cell>
          <cell r="AJ12">
            <v>5999400877</v>
          </cell>
          <cell r="AK12">
            <v>25805833</v>
          </cell>
          <cell r="AL12">
            <v>195203593</v>
          </cell>
          <cell r="AM12">
            <v>3913100000</v>
          </cell>
          <cell r="AN12">
            <v>22541000000</v>
          </cell>
          <cell r="AO12">
            <v>7537708054</v>
          </cell>
          <cell r="AP12">
            <v>236218957.01999998</v>
          </cell>
          <cell r="AQ12">
            <v>110421190</v>
          </cell>
          <cell r="AR12">
            <v>739656116</v>
          </cell>
          <cell r="AS12">
            <v>1935115529</v>
          </cell>
          <cell r="AT12">
            <v>282851594</v>
          </cell>
          <cell r="AU12">
            <v>219438641</v>
          </cell>
          <cell r="AV12">
            <v>3333873406</v>
          </cell>
          <cell r="AW12">
            <v>191155221</v>
          </cell>
          <cell r="AX12">
            <v>215492783</v>
          </cell>
          <cell r="AY12">
            <v>707444570</v>
          </cell>
          <cell r="AZ12">
            <v>0</v>
          </cell>
          <cell r="BA12">
            <v>726444941</v>
          </cell>
          <cell r="BB12">
            <v>1223657037</v>
          </cell>
          <cell r="BC12">
            <v>174363672</v>
          </cell>
          <cell r="BD12">
            <v>374500068</v>
          </cell>
          <cell r="BE12">
            <v>567021540</v>
          </cell>
          <cell r="BF12">
            <v>122730092</v>
          </cell>
          <cell r="BG12">
            <v>1591392611</v>
          </cell>
          <cell r="BH12">
            <v>240633232</v>
          </cell>
          <cell r="BI12">
            <v>319007969</v>
          </cell>
          <cell r="BJ12">
            <v>1165414350</v>
          </cell>
          <cell r="BK12">
            <v>195950229.71000001</v>
          </cell>
          <cell r="BL12">
            <v>710698626</v>
          </cell>
          <cell r="BM12">
            <v>88199452.250000015</v>
          </cell>
          <cell r="BN12">
            <v>819538763</v>
          </cell>
          <cell r="BO12">
            <v>192894440</v>
          </cell>
          <cell r="BP12">
            <v>6828654919</v>
          </cell>
          <cell r="BQ12">
            <v>101925474</v>
          </cell>
          <cell r="BR12">
            <v>111785106</v>
          </cell>
          <cell r="BS12">
            <v>76752093</v>
          </cell>
          <cell r="BT12">
            <v>343399650</v>
          </cell>
          <cell r="BU12">
            <v>1006913914</v>
          </cell>
          <cell r="BV12">
            <v>216493155.44</v>
          </cell>
          <cell r="BW12">
            <v>25139059221</v>
          </cell>
          <cell r="BX12">
            <v>2501313739</v>
          </cell>
          <cell r="BY12">
            <v>116309548</v>
          </cell>
          <cell r="BZ12">
            <v>1369710373</v>
          </cell>
          <cell r="CA12">
            <v>467724991</v>
          </cell>
          <cell r="CB12">
            <v>93707617.5</v>
          </cell>
          <cell r="CC12">
            <v>154353218.66999999</v>
          </cell>
          <cell r="CD12">
            <v>58414893</v>
          </cell>
          <cell r="CE12">
            <v>472219420</v>
          </cell>
          <cell r="CF12">
            <v>855637025</v>
          </cell>
          <cell r="CG12">
            <v>408223851</v>
          </cell>
        </row>
        <row r="13">
          <cell r="A13" t="str">
            <v>kWh - Residential</v>
          </cell>
          <cell r="B13" t="str">
            <v>YVR</v>
          </cell>
          <cell r="C13">
            <v>2008</v>
          </cell>
          <cell r="D13">
            <v>11183350</v>
          </cell>
          <cell r="E13">
            <v>547117234</v>
          </cell>
          <cell r="F13">
            <v>261354534</v>
          </cell>
          <cell r="G13">
            <v>79817804</v>
          </cell>
          <cell r="H13">
            <v>291972257</v>
          </cell>
          <cell r="I13">
            <v>557752794</v>
          </cell>
          <cell r="J13">
            <v>114695863</v>
          </cell>
          <cell r="K13">
            <v>384779246</v>
          </cell>
          <cell r="L13">
            <v>111437380</v>
          </cell>
          <cell r="M13">
            <v>44627090</v>
          </cell>
          <cell r="N13">
            <v>15056281</v>
          </cell>
          <cell r="O13">
            <v>232973162</v>
          </cell>
          <cell r="P13">
            <v>0</v>
          </cell>
          <cell r="Q13">
            <v>19644024</v>
          </cell>
          <cell r="R13">
            <v>0</v>
          </cell>
          <cell r="S13">
            <v>93091229</v>
          </cell>
          <cell r="T13">
            <v>637053725</v>
          </cell>
          <cell r="U13">
            <v>29699161</v>
          </cell>
          <cell r="V13">
            <v>1590715870</v>
          </cell>
          <cell r="W13">
            <v>115637295</v>
          </cell>
          <cell r="X13">
            <v>32354293</v>
          </cell>
          <cell r="Y13">
            <v>261929749.41</v>
          </cell>
          <cell r="Z13">
            <v>140987205</v>
          </cell>
          <cell r="AA13">
            <v>39844007</v>
          </cell>
          <cell r="AB13">
            <v>5882230</v>
          </cell>
          <cell r="AC13">
            <v>87951272</v>
          </cell>
          <cell r="AD13">
            <v>411072289</v>
          </cell>
          <cell r="AE13">
            <v>91344616.159999996</v>
          </cell>
          <cell r="AF13">
            <v>366970147.69999999</v>
          </cell>
          <cell r="AG13">
            <v>171781095</v>
          </cell>
          <cell r="AH13">
            <v>220683563.03999999</v>
          </cell>
          <cell r="AI13">
            <v>26743823</v>
          </cell>
          <cell r="AJ13">
            <v>1641702487</v>
          </cell>
          <cell r="AK13">
            <v>15306507</v>
          </cell>
          <cell r="AL13">
            <v>55769040</v>
          </cell>
          <cell r="AM13">
            <v>1136600000</v>
          </cell>
          <cell r="AN13">
            <v>12410000000</v>
          </cell>
          <cell r="AO13">
            <v>2226078653</v>
          </cell>
          <cell r="AP13">
            <v>158043498</v>
          </cell>
          <cell r="AQ13">
            <v>39338336</v>
          </cell>
          <cell r="AR13">
            <v>200555058</v>
          </cell>
          <cell r="AS13">
            <v>659163062</v>
          </cell>
          <cell r="AT13">
            <v>75604253</v>
          </cell>
          <cell r="AU13">
            <v>81234268</v>
          </cell>
          <cell r="AV13">
            <v>1119770671</v>
          </cell>
          <cell r="AW13">
            <v>57013718</v>
          </cell>
          <cell r="AX13">
            <v>48136133</v>
          </cell>
          <cell r="AY13">
            <v>225897498</v>
          </cell>
          <cell r="AZ13">
            <v>0</v>
          </cell>
          <cell r="BA13">
            <v>268062456</v>
          </cell>
          <cell r="BB13">
            <v>400445564</v>
          </cell>
          <cell r="BC13">
            <v>63512671</v>
          </cell>
          <cell r="BD13">
            <v>140646761</v>
          </cell>
          <cell r="BE13">
            <v>213813392</v>
          </cell>
          <cell r="BF13">
            <v>41990761</v>
          </cell>
          <cell r="BG13">
            <v>588349444</v>
          </cell>
          <cell r="BH13">
            <v>79576857</v>
          </cell>
          <cell r="BI13">
            <v>109814584</v>
          </cell>
          <cell r="BJ13">
            <v>493225543</v>
          </cell>
          <cell r="BK13">
            <v>78434655.349999994</v>
          </cell>
          <cell r="BL13">
            <v>347363230</v>
          </cell>
          <cell r="BM13">
            <v>34188974.920000002</v>
          </cell>
          <cell r="BN13">
            <v>288028301</v>
          </cell>
          <cell r="BO13">
            <v>64024829</v>
          </cell>
          <cell r="BP13">
            <v>2077903209</v>
          </cell>
          <cell r="BQ13">
            <v>31465398</v>
          </cell>
          <cell r="BR13">
            <v>44465236</v>
          </cell>
          <cell r="BS13">
            <v>33587664</v>
          </cell>
          <cell r="BT13">
            <v>120297987</v>
          </cell>
          <cell r="BU13">
            <v>351645318</v>
          </cell>
          <cell r="BV13">
            <v>51050817.740000002</v>
          </cell>
          <cell r="BW13">
            <v>5215687193</v>
          </cell>
          <cell r="BX13">
            <v>942451035</v>
          </cell>
          <cell r="BY13">
            <v>76997980</v>
          </cell>
          <cell r="BZ13">
            <v>405533476</v>
          </cell>
          <cell r="CA13">
            <v>157955849</v>
          </cell>
          <cell r="CB13">
            <v>25485646</v>
          </cell>
          <cell r="CC13">
            <v>26528425</v>
          </cell>
          <cell r="CD13">
            <v>14722573</v>
          </cell>
          <cell r="CE13">
            <v>213227356</v>
          </cell>
          <cell r="CF13">
            <v>346038642</v>
          </cell>
          <cell r="CG13">
            <v>110536185</v>
          </cell>
        </row>
        <row r="14">
          <cell r="A14" t="str">
            <v>kWh - Other</v>
          </cell>
          <cell r="B14" t="str">
            <v>YVO</v>
          </cell>
          <cell r="C14">
            <v>2008</v>
          </cell>
          <cell r="D14">
            <v>15374479</v>
          </cell>
          <cell r="E14">
            <v>992048431</v>
          </cell>
          <cell r="F14">
            <v>830854380</v>
          </cell>
          <cell r="G14">
            <v>202899332</v>
          </cell>
          <cell r="H14">
            <v>727552356</v>
          </cell>
          <cell r="I14">
            <v>1167970874</v>
          </cell>
          <cell r="J14">
            <v>207839945</v>
          </cell>
          <cell r="K14">
            <v>1134979083</v>
          </cell>
          <cell r="L14">
            <v>176395623</v>
          </cell>
          <cell r="M14">
            <v>125139880</v>
          </cell>
          <cell r="N14">
            <v>13525751</v>
          </cell>
          <cell r="O14">
            <v>585192579</v>
          </cell>
          <cell r="P14">
            <v>0</v>
          </cell>
          <cell r="Q14">
            <v>9839540</v>
          </cell>
          <cell r="R14">
            <v>0</v>
          </cell>
          <cell r="S14">
            <v>159559552.16999999</v>
          </cell>
          <cell r="T14">
            <v>1819884474</v>
          </cell>
          <cell r="U14">
            <v>33284468</v>
          </cell>
          <cell r="V14">
            <v>6505218159</v>
          </cell>
          <cell r="W14">
            <v>281603455.66999996</v>
          </cell>
          <cell r="X14">
            <v>31240550</v>
          </cell>
          <cell r="Y14">
            <v>284941806.53999996</v>
          </cell>
          <cell r="Z14">
            <v>452400249</v>
          </cell>
          <cell r="AA14">
            <v>44158091</v>
          </cell>
          <cell r="AB14">
            <v>3201024</v>
          </cell>
          <cell r="AC14">
            <v>90279712.199999988</v>
          </cell>
          <cell r="AD14">
            <v>555754688.00999999</v>
          </cell>
          <cell r="AE14">
            <v>89369429.609999985</v>
          </cell>
          <cell r="AF14">
            <v>1232785178.4699998</v>
          </cell>
          <cell r="AG14">
            <v>180303153</v>
          </cell>
          <cell r="AH14">
            <v>279992359.22000003</v>
          </cell>
          <cell r="AI14">
            <v>57846626</v>
          </cell>
          <cell r="AJ14">
            <v>4357698390</v>
          </cell>
          <cell r="AK14">
            <v>10499326</v>
          </cell>
          <cell r="AL14">
            <v>139434553</v>
          </cell>
          <cell r="AM14">
            <v>2776500000</v>
          </cell>
          <cell r="AN14">
            <v>10131000000</v>
          </cell>
          <cell r="AO14">
            <v>5311629401</v>
          </cell>
          <cell r="AP14">
            <v>78175459.019999981</v>
          </cell>
          <cell r="AQ14">
            <v>71082854</v>
          </cell>
          <cell r="AR14">
            <v>539101058</v>
          </cell>
          <cell r="AS14">
            <v>1275952467</v>
          </cell>
          <cell r="AT14">
            <v>207247341</v>
          </cell>
          <cell r="AU14">
            <v>138204373</v>
          </cell>
          <cell r="AV14">
            <v>2214102735</v>
          </cell>
          <cell r="AW14">
            <v>134141503</v>
          </cell>
          <cell r="AX14">
            <v>167356650</v>
          </cell>
          <cell r="AY14">
            <v>481547072</v>
          </cell>
          <cell r="AZ14">
            <v>0</v>
          </cell>
          <cell r="BA14">
            <v>458382485</v>
          </cell>
          <cell r="BB14">
            <v>823211473</v>
          </cell>
          <cell r="BC14">
            <v>110851001</v>
          </cell>
          <cell r="BD14">
            <v>233853307</v>
          </cell>
          <cell r="BE14">
            <v>353208148</v>
          </cell>
          <cell r="BF14">
            <v>80739331</v>
          </cell>
          <cell r="BG14">
            <v>1003043167</v>
          </cell>
          <cell r="BH14">
            <v>161056375</v>
          </cell>
          <cell r="BI14">
            <v>209193385</v>
          </cell>
          <cell r="BJ14">
            <v>672188807</v>
          </cell>
          <cell r="BK14">
            <v>117515574.36000001</v>
          </cell>
          <cell r="BL14">
            <v>363335396</v>
          </cell>
          <cell r="BM14">
            <v>54010477.330000013</v>
          </cell>
          <cell r="BN14">
            <v>531510462</v>
          </cell>
          <cell r="BO14">
            <v>128869611</v>
          </cell>
          <cell r="BP14">
            <v>4750751710</v>
          </cell>
          <cell r="BQ14">
            <v>70460076</v>
          </cell>
          <cell r="BR14">
            <v>67319870</v>
          </cell>
          <cell r="BS14">
            <v>43164429</v>
          </cell>
          <cell r="BT14">
            <v>223101663</v>
          </cell>
          <cell r="BU14">
            <v>655268596</v>
          </cell>
          <cell r="BV14">
            <v>165442337.69999999</v>
          </cell>
          <cell r="BW14">
            <v>19923372028</v>
          </cell>
          <cell r="BX14">
            <v>1558862704</v>
          </cell>
          <cell r="BY14">
            <v>39311568</v>
          </cell>
          <cell r="BZ14">
            <v>964176897</v>
          </cell>
          <cell r="CA14">
            <v>309769142</v>
          </cell>
          <cell r="CB14">
            <v>68221971.5</v>
          </cell>
          <cell r="CC14">
            <v>127824793.66999999</v>
          </cell>
          <cell r="CD14">
            <v>43692320</v>
          </cell>
          <cell r="CE14">
            <v>258992064</v>
          </cell>
          <cell r="CF14">
            <v>509598383</v>
          </cell>
          <cell r="CG14">
            <v>297687666</v>
          </cell>
        </row>
        <row r="15">
          <cell r="A15" t="str">
            <v>kW</v>
          </cell>
          <cell r="B15" t="str">
            <v>YD</v>
          </cell>
          <cell r="C15">
            <v>2008</v>
          </cell>
          <cell r="D15">
            <v>20686</v>
          </cell>
          <cell r="E15">
            <v>2026336</v>
          </cell>
          <cell r="F15">
            <v>1500621</v>
          </cell>
          <cell r="G15">
            <v>358332</v>
          </cell>
          <cell r="H15">
            <v>1499346</v>
          </cell>
          <cell r="I15">
            <v>2474604</v>
          </cell>
          <cell r="J15">
            <v>361365</v>
          </cell>
          <cell r="K15">
            <v>2468533</v>
          </cell>
          <cell r="L15">
            <v>396348</v>
          </cell>
          <cell r="M15">
            <v>221322</v>
          </cell>
          <cell r="N15">
            <v>20964</v>
          </cell>
          <cell r="O15">
            <v>1269667</v>
          </cell>
          <cell r="P15">
            <v>0</v>
          </cell>
          <cell r="Q15">
            <v>13836</v>
          </cell>
          <cell r="R15">
            <v>0</v>
          </cell>
          <cell r="S15">
            <v>206171</v>
          </cell>
          <cell r="T15">
            <v>4108019</v>
          </cell>
          <cell r="U15">
            <v>68420</v>
          </cell>
          <cell r="V15">
            <v>13585043</v>
          </cell>
          <cell r="W15">
            <v>626344</v>
          </cell>
          <cell r="X15">
            <v>38026</v>
          </cell>
          <cell r="Y15">
            <v>519478</v>
          </cell>
          <cell r="Z15">
            <v>994139</v>
          </cell>
          <cell r="AA15">
            <v>3310</v>
          </cell>
          <cell r="AB15">
            <v>5866</v>
          </cell>
          <cell r="AC15">
            <v>156197</v>
          </cell>
          <cell r="AD15">
            <v>990946</v>
          </cell>
          <cell r="AE15">
            <v>177224</v>
          </cell>
          <cell r="AF15">
            <v>2477256</v>
          </cell>
          <cell r="AG15">
            <v>332625</v>
          </cell>
          <cell r="AH15">
            <v>596339</v>
          </cell>
          <cell r="AI15">
            <v>129899</v>
          </cell>
          <cell r="AJ15">
            <v>8908491</v>
          </cell>
          <cell r="AK15">
            <v>12970</v>
          </cell>
          <cell r="AL15">
            <v>307569</v>
          </cell>
          <cell r="AM15">
            <v>5833523</v>
          </cell>
          <cell r="AN15">
            <v>27946091</v>
          </cell>
          <cell r="AO15">
            <v>10309222</v>
          </cell>
          <cell r="AP15">
            <v>146808</v>
          </cell>
          <cell r="AQ15">
            <v>119444</v>
          </cell>
          <cell r="AR15">
            <v>1033837</v>
          </cell>
          <cell r="AS15">
            <v>2603043</v>
          </cell>
          <cell r="AT15">
            <v>384607</v>
          </cell>
          <cell r="AU15">
            <v>231667</v>
          </cell>
          <cell r="AV15">
            <v>4544536</v>
          </cell>
          <cell r="AW15">
            <v>300564</v>
          </cell>
          <cell r="AX15">
            <v>347946</v>
          </cell>
          <cell r="AY15">
            <v>935644</v>
          </cell>
          <cell r="AZ15">
            <v>0</v>
          </cell>
          <cell r="BA15">
            <v>884097</v>
          </cell>
          <cell r="BB15">
            <v>1755226</v>
          </cell>
          <cell r="BC15">
            <v>200577</v>
          </cell>
          <cell r="BD15">
            <v>371178</v>
          </cell>
          <cell r="BE15">
            <v>702482</v>
          </cell>
          <cell r="BF15">
            <v>165439</v>
          </cell>
          <cell r="BG15">
            <v>2163482</v>
          </cell>
          <cell r="BH15">
            <v>296997</v>
          </cell>
          <cell r="BI15">
            <v>404841</v>
          </cell>
          <cell r="BJ15">
            <v>1254453</v>
          </cell>
          <cell r="BK15">
            <v>221081</v>
          </cell>
          <cell r="BL15">
            <v>672760</v>
          </cell>
          <cell r="BM15">
            <v>92326</v>
          </cell>
          <cell r="BN15">
            <v>996087</v>
          </cell>
          <cell r="BO15">
            <v>419842</v>
          </cell>
          <cell r="BP15">
            <v>10412388</v>
          </cell>
          <cell r="BQ15">
            <v>148947</v>
          </cell>
          <cell r="BR15">
            <v>127789</v>
          </cell>
          <cell r="BS15">
            <v>76545</v>
          </cell>
          <cell r="BT15">
            <v>446340</v>
          </cell>
          <cell r="BU15">
            <v>1405943</v>
          </cell>
          <cell r="BV15">
            <v>341053</v>
          </cell>
          <cell r="BW15">
            <v>43141331</v>
          </cell>
          <cell r="BX15">
            <v>2987652</v>
          </cell>
          <cell r="BY15">
            <v>33494</v>
          </cell>
          <cell r="BZ15">
            <v>1846153</v>
          </cell>
          <cell r="CA15">
            <v>779885</v>
          </cell>
          <cell r="CB15">
            <v>155305</v>
          </cell>
          <cell r="CC15">
            <v>271615</v>
          </cell>
          <cell r="CD15">
            <v>92733</v>
          </cell>
          <cell r="CE15">
            <v>457060</v>
          </cell>
          <cell r="CF15">
            <v>1010898</v>
          </cell>
          <cell r="CG15">
            <v>618730</v>
          </cell>
        </row>
        <row r="16">
          <cell r="A16" t="str">
            <v>kW - Residential</v>
          </cell>
          <cell r="B16" t="str">
            <v>YDR</v>
          </cell>
          <cell r="C16">
            <v>2008</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row>
        <row r="17">
          <cell r="A17" t="str">
            <v>kW - Other</v>
          </cell>
          <cell r="B17" t="str">
            <v>YDO</v>
          </cell>
          <cell r="C17">
            <v>2008</v>
          </cell>
          <cell r="D17">
            <v>20686</v>
          </cell>
          <cell r="E17">
            <v>2026336</v>
          </cell>
          <cell r="F17">
            <v>1500621</v>
          </cell>
          <cell r="G17">
            <v>358332</v>
          </cell>
          <cell r="H17">
            <v>1499346</v>
          </cell>
          <cell r="I17">
            <v>2474604</v>
          </cell>
          <cell r="J17">
            <v>361365</v>
          </cell>
          <cell r="K17">
            <v>2468533</v>
          </cell>
          <cell r="L17">
            <v>396348</v>
          </cell>
          <cell r="M17">
            <v>221322</v>
          </cell>
          <cell r="N17">
            <v>20964</v>
          </cell>
          <cell r="O17">
            <v>1269667</v>
          </cell>
          <cell r="P17">
            <v>0</v>
          </cell>
          <cell r="Q17">
            <v>13836</v>
          </cell>
          <cell r="R17">
            <v>0</v>
          </cell>
          <cell r="S17">
            <v>206171</v>
          </cell>
          <cell r="T17">
            <v>4108019</v>
          </cell>
          <cell r="U17">
            <v>68420</v>
          </cell>
          <cell r="V17">
            <v>13585043</v>
          </cell>
          <cell r="W17">
            <v>626344</v>
          </cell>
          <cell r="X17">
            <v>38026</v>
          </cell>
          <cell r="Y17">
            <v>519478</v>
          </cell>
          <cell r="Z17">
            <v>994139</v>
          </cell>
          <cell r="AA17">
            <v>3310</v>
          </cell>
          <cell r="AB17">
            <v>5866</v>
          </cell>
          <cell r="AC17">
            <v>156197</v>
          </cell>
          <cell r="AD17">
            <v>990946</v>
          </cell>
          <cell r="AE17">
            <v>177224</v>
          </cell>
          <cell r="AF17">
            <v>2477256</v>
          </cell>
          <cell r="AG17">
            <v>332625</v>
          </cell>
          <cell r="AH17">
            <v>596339</v>
          </cell>
          <cell r="AI17">
            <v>129899</v>
          </cell>
          <cell r="AJ17">
            <v>8908491</v>
          </cell>
          <cell r="AK17">
            <v>12970</v>
          </cell>
          <cell r="AL17">
            <v>307569</v>
          </cell>
          <cell r="AM17">
            <v>5833523</v>
          </cell>
          <cell r="AN17">
            <v>27946091</v>
          </cell>
          <cell r="AO17">
            <v>10309222</v>
          </cell>
          <cell r="AP17">
            <v>146808</v>
          </cell>
          <cell r="AQ17">
            <v>119444</v>
          </cell>
          <cell r="AR17">
            <v>1033837</v>
          </cell>
          <cell r="AS17">
            <v>2603043</v>
          </cell>
          <cell r="AT17">
            <v>384607</v>
          </cell>
          <cell r="AU17">
            <v>231667</v>
          </cell>
          <cell r="AV17">
            <v>4544536</v>
          </cell>
          <cell r="AW17">
            <v>300564</v>
          </cell>
          <cell r="AX17">
            <v>347946</v>
          </cell>
          <cell r="AY17">
            <v>935644</v>
          </cell>
          <cell r="AZ17">
            <v>0</v>
          </cell>
          <cell r="BA17">
            <v>884097</v>
          </cell>
          <cell r="BB17">
            <v>1755226</v>
          </cell>
          <cell r="BC17">
            <v>200577</v>
          </cell>
          <cell r="BD17">
            <v>371178</v>
          </cell>
          <cell r="BE17">
            <v>702482</v>
          </cell>
          <cell r="BF17">
            <v>165439</v>
          </cell>
          <cell r="BG17">
            <v>2163482</v>
          </cell>
          <cell r="BH17">
            <v>296997</v>
          </cell>
          <cell r="BI17">
            <v>404841</v>
          </cell>
          <cell r="BJ17">
            <v>1254453</v>
          </cell>
          <cell r="BK17">
            <v>221081</v>
          </cell>
          <cell r="BL17">
            <v>672760</v>
          </cell>
          <cell r="BM17">
            <v>92326</v>
          </cell>
          <cell r="BN17">
            <v>996087</v>
          </cell>
          <cell r="BO17">
            <v>419842</v>
          </cell>
          <cell r="BP17">
            <v>10412388</v>
          </cell>
          <cell r="BQ17">
            <v>148947</v>
          </cell>
          <cell r="BR17">
            <v>127789</v>
          </cell>
          <cell r="BS17">
            <v>76545</v>
          </cell>
          <cell r="BT17">
            <v>446340</v>
          </cell>
          <cell r="BU17">
            <v>1405943</v>
          </cell>
          <cell r="BV17">
            <v>341053</v>
          </cell>
          <cell r="BW17">
            <v>43141331</v>
          </cell>
          <cell r="BX17">
            <v>2987652</v>
          </cell>
          <cell r="BY17">
            <v>33494</v>
          </cell>
          <cell r="BZ17">
            <v>1846153</v>
          </cell>
          <cell r="CA17">
            <v>779885</v>
          </cell>
          <cell r="CB17">
            <v>155305</v>
          </cell>
          <cell r="CC17">
            <v>271615</v>
          </cell>
          <cell r="CD17">
            <v>92733</v>
          </cell>
          <cell r="CE17">
            <v>457060</v>
          </cell>
          <cell r="CF17">
            <v>1010898</v>
          </cell>
          <cell r="CG17">
            <v>618730</v>
          </cell>
        </row>
        <row r="18">
          <cell r="A18" t="str">
            <v>Total service area</v>
          </cell>
          <cell r="B18" t="str">
            <v>AREA</v>
          </cell>
          <cell r="C18">
            <v>2008</v>
          </cell>
          <cell r="D18">
            <v>380</v>
          </cell>
          <cell r="E18">
            <v>164</v>
          </cell>
          <cell r="F18">
            <v>201</v>
          </cell>
          <cell r="G18">
            <v>257</v>
          </cell>
          <cell r="H18">
            <v>74</v>
          </cell>
          <cell r="I18">
            <v>188</v>
          </cell>
          <cell r="J18">
            <v>57</v>
          </cell>
          <cell r="K18">
            <v>303</v>
          </cell>
          <cell r="L18">
            <v>168</v>
          </cell>
          <cell r="M18">
            <v>10</v>
          </cell>
          <cell r="N18">
            <v>2</v>
          </cell>
          <cell r="O18">
            <v>70</v>
          </cell>
          <cell r="P18">
            <v>0</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410</v>
          </cell>
          <cell r="AE18">
            <v>67</v>
          </cell>
          <cell r="AF18">
            <v>93</v>
          </cell>
          <cell r="AG18">
            <v>1252</v>
          </cell>
          <cell r="AH18">
            <v>281</v>
          </cell>
          <cell r="AI18">
            <v>93</v>
          </cell>
          <cell r="AJ18">
            <v>426</v>
          </cell>
          <cell r="AK18">
            <v>9</v>
          </cell>
          <cell r="AL18">
            <v>8</v>
          </cell>
          <cell r="AM18">
            <v>269</v>
          </cell>
          <cell r="AN18">
            <v>650000</v>
          </cell>
          <cell r="AO18">
            <v>1104</v>
          </cell>
          <cell r="AP18">
            <v>292</v>
          </cell>
          <cell r="AQ18">
            <v>24</v>
          </cell>
          <cell r="AR18">
            <v>32</v>
          </cell>
          <cell r="AS18">
            <v>404</v>
          </cell>
          <cell r="AT18">
            <v>27</v>
          </cell>
          <cell r="AU18">
            <v>144</v>
          </cell>
          <cell r="AV18">
            <v>421</v>
          </cell>
          <cell r="AW18">
            <v>21</v>
          </cell>
          <cell r="AX18">
            <v>20</v>
          </cell>
          <cell r="AY18">
            <v>370</v>
          </cell>
          <cell r="AZ18">
            <v>0</v>
          </cell>
          <cell r="BA18">
            <v>74</v>
          </cell>
          <cell r="BB18">
            <v>827</v>
          </cell>
          <cell r="BC18">
            <v>133</v>
          </cell>
          <cell r="BD18">
            <v>693</v>
          </cell>
          <cell r="BE18">
            <v>330</v>
          </cell>
          <cell r="BF18">
            <v>28</v>
          </cell>
          <cell r="BG18">
            <v>143</v>
          </cell>
          <cell r="BH18">
            <v>16</v>
          </cell>
          <cell r="BI18">
            <v>27</v>
          </cell>
          <cell r="BJ18">
            <v>143</v>
          </cell>
          <cell r="BK18">
            <v>35</v>
          </cell>
          <cell r="BL18">
            <v>342</v>
          </cell>
          <cell r="BM18">
            <v>15</v>
          </cell>
          <cell r="BN18">
            <v>64</v>
          </cell>
          <cell r="BO18">
            <v>122</v>
          </cell>
          <cell r="BP18">
            <v>640</v>
          </cell>
          <cell r="BQ18">
            <v>13</v>
          </cell>
          <cell r="BR18">
            <v>18</v>
          </cell>
          <cell r="BS18">
            <v>536</v>
          </cell>
          <cell r="BT18">
            <v>33</v>
          </cell>
          <cell r="BU18">
            <v>381</v>
          </cell>
          <cell r="BV18">
            <v>24</v>
          </cell>
          <cell r="BW18">
            <v>630</v>
          </cell>
          <cell r="BX18">
            <v>639</v>
          </cell>
          <cell r="BY18">
            <v>61</v>
          </cell>
          <cell r="BZ18">
            <v>672</v>
          </cell>
          <cell r="CA18">
            <v>84</v>
          </cell>
          <cell r="CB18">
            <v>14</v>
          </cell>
          <cell r="CC18">
            <v>8</v>
          </cell>
          <cell r="CD18">
            <v>6</v>
          </cell>
          <cell r="CE18">
            <v>49</v>
          </cell>
          <cell r="CF18">
            <v>147</v>
          </cell>
          <cell r="CG18">
            <v>29</v>
          </cell>
        </row>
        <row r="19">
          <cell r="A19" t="str">
            <v>Urban service area</v>
          </cell>
          <cell r="B19" t="str">
            <v>AREAURB</v>
          </cell>
          <cell r="C19">
            <v>2008</v>
          </cell>
          <cell r="D19">
            <v>380</v>
          </cell>
          <cell r="E19">
            <v>164</v>
          </cell>
          <cell r="F19">
            <v>54</v>
          </cell>
          <cell r="G19">
            <v>17</v>
          </cell>
          <cell r="H19">
            <v>74</v>
          </cell>
          <cell r="I19">
            <v>98</v>
          </cell>
          <cell r="J19">
            <v>57</v>
          </cell>
          <cell r="K19">
            <v>90</v>
          </cell>
          <cell r="L19">
            <v>35</v>
          </cell>
          <cell r="M19">
            <v>10</v>
          </cell>
          <cell r="N19">
            <v>2</v>
          </cell>
          <cell r="O19">
            <v>70</v>
          </cell>
          <cell r="P19">
            <v>0</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290</v>
          </cell>
          <cell r="AE19">
            <v>22</v>
          </cell>
          <cell r="AF19">
            <v>93</v>
          </cell>
          <cell r="AG19">
            <v>36</v>
          </cell>
          <cell r="AH19">
            <v>26</v>
          </cell>
          <cell r="AI19">
            <v>93</v>
          </cell>
          <cell r="AJ19">
            <v>338</v>
          </cell>
          <cell r="AK19">
            <v>9</v>
          </cell>
          <cell r="AL19">
            <v>8</v>
          </cell>
          <cell r="AM19">
            <v>269</v>
          </cell>
          <cell r="AN19">
            <v>0</v>
          </cell>
          <cell r="AO19">
            <v>454</v>
          </cell>
          <cell r="AP19">
            <v>63</v>
          </cell>
          <cell r="AQ19">
            <v>24</v>
          </cell>
          <cell r="AR19">
            <v>32</v>
          </cell>
          <cell r="AS19">
            <v>124</v>
          </cell>
          <cell r="AT19">
            <v>27</v>
          </cell>
          <cell r="AU19">
            <v>16</v>
          </cell>
          <cell r="AV19">
            <v>163</v>
          </cell>
          <cell r="AW19">
            <v>16</v>
          </cell>
          <cell r="AX19">
            <v>20</v>
          </cell>
          <cell r="AY19">
            <v>57</v>
          </cell>
          <cell r="AZ19">
            <v>0</v>
          </cell>
          <cell r="BA19">
            <v>71</v>
          </cell>
          <cell r="BB19">
            <v>68</v>
          </cell>
          <cell r="BC19">
            <v>14</v>
          </cell>
          <cell r="BD19">
            <v>144</v>
          </cell>
          <cell r="BE19">
            <v>51</v>
          </cell>
          <cell r="BF19">
            <v>28</v>
          </cell>
          <cell r="BG19">
            <v>102</v>
          </cell>
          <cell r="BH19">
            <v>16</v>
          </cell>
          <cell r="BI19">
            <v>27</v>
          </cell>
          <cell r="BJ19">
            <v>71</v>
          </cell>
          <cell r="BK19">
            <v>35</v>
          </cell>
          <cell r="BL19">
            <v>58</v>
          </cell>
          <cell r="BM19">
            <v>15</v>
          </cell>
          <cell r="BN19">
            <v>64</v>
          </cell>
          <cell r="BO19">
            <v>20</v>
          </cell>
          <cell r="BP19">
            <v>456</v>
          </cell>
          <cell r="BQ19">
            <v>13</v>
          </cell>
          <cell r="BR19">
            <v>11</v>
          </cell>
          <cell r="BS19">
            <v>6</v>
          </cell>
          <cell r="BT19">
            <v>33</v>
          </cell>
          <cell r="BU19">
            <v>122</v>
          </cell>
          <cell r="BV19">
            <v>21</v>
          </cell>
          <cell r="BW19">
            <v>630</v>
          </cell>
          <cell r="BX19">
            <v>253</v>
          </cell>
          <cell r="BY19">
            <v>53</v>
          </cell>
          <cell r="BZ19">
            <v>65</v>
          </cell>
          <cell r="CA19">
            <v>84</v>
          </cell>
          <cell r="CB19">
            <v>14</v>
          </cell>
          <cell r="CC19">
            <v>8</v>
          </cell>
          <cell r="CD19">
            <v>6</v>
          </cell>
          <cell r="CE19">
            <v>49</v>
          </cell>
          <cell r="CF19">
            <v>71</v>
          </cell>
          <cell r="CG19">
            <v>29</v>
          </cell>
        </row>
        <row r="20">
          <cell r="A20" t="str">
            <v>Rural service area</v>
          </cell>
          <cell r="B20" t="str">
            <v>AREARUR</v>
          </cell>
          <cell r="C20">
            <v>2008</v>
          </cell>
          <cell r="D20">
            <v>0</v>
          </cell>
          <cell r="E20">
            <v>0</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120</v>
          </cell>
          <cell r="AE20">
            <v>45</v>
          </cell>
          <cell r="AF20">
            <v>0</v>
          </cell>
          <cell r="AG20">
            <v>1216</v>
          </cell>
          <cell r="AH20">
            <v>255</v>
          </cell>
          <cell r="AI20">
            <v>0</v>
          </cell>
          <cell r="AJ20">
            <v>88</v>
          </cell>
          <cell r="AK20">
            <v>0</v>
          </cell>
          <cell r="AL20">
            <v>0</v>
          </cell>
          <cell r="AM20">
            <v>0</v>
          </cell>
          <cell r="AN20">
            <v>650000</v>
          </cell>
          <cell r="AO20">
            <v>650</v>
          </cell>
          <cell r="AP20">
            <v>229</v>
          </cell>
          <cell r="AQ20">
            <v>0</v>
          </cell>
          <cell r="AR20">
            <v>0</v>
          </cell>
          <cell r="AS20">
            <v>280</v>
          </cell>
          <cell r="AT20">
            <v>0</v>
          </cell>
          <cell r="AU20">
            <v>128</v>
          </cell>
          <cell r="AV20">
            <v>258</v>
          </cell>
          <cell r="AW20">
            <v>5</v>
          </cell>
          <cell r="AX20">
            <v>0</v>
          </cell>
          <cell r="AY20">
            <v>313</v>
          </cell>
          <cell r="AZ20">
            <v>0</v>
          </cell>
          <cell r="BA20">
            <v>3</v>
          </cell>
          <cell r="BB20">
            <v>759</v>
          </cell>
          <cell r="BC20">
            <v>119</v>
          </cell>
          <cell r="BD20">
            <v>549</v>
          </cell>
          <cell r="BE20">
            <v>279</v>
          </cell>
          <cell r="BF20">
            <v>0</v>
          </cell>
          <cell r="BG20">
            <v>41</v>
          </cell>
          <cell r="BH20">
            <v>0</v>
          </cell>
          <cell r="BI20">
            <v>0</v>
          </cell>
          <cell r="BJ20">
            <v>72</v>
          </cell>
          <cell r="BK20">
            <v>0</v>
          </cell>
          <cell r="BL20">
            <v>284</v>
          </cell>
          <cell r="BM20">
            <v>0</v>
          </cell>
          <cell r="BN20">
            <v>0</v>
          </cell>
          <cell r="BO20">
            <v>102</v>
          </cell>
          <cell r="BP20">
            <v>184</v>
          </cell>
          <cell r="BQ20">
            <v>0</v>
          </cell>
          <cell r="BR20">
            <v>7</v>
          </cell>
          <cell r="BS20">
            <v>530</v>
          </cell>
          <cell r="BT20">
            <v>0</v>
          </cell>
          <cell r="BU20">
            <v>259</v>
          </cell>
          <cell r="BV20">
            <v>3</v>
          </cell>
          <cell r="BW20">
            <v>0</v>
          </cell>
          <cell r="BX20">
            <v>386</v>
          </cell>
          <cell r="BY20">
            <v>8</v>
          </cell>
          <cell r="BZ20">
            <v>607</v>
          </cell>
          <cell r="CA20">
            <v>0</v>
          </cell>
          <cell r="CB20">
            <v>0</v>
          </cell>
          <cell r="CC20">
            <v>0</v>
          </cell>
          <cell r="CD20">
            <v>0</v>
          </cell>
          <cell r="CE20">
            <v>0</v>
          </cell>
          <cell r="CF20">
            <v>76</v>
          </cell>
          <cell r="CG20">
            <v>0</v>
          </cell>
        </row>
        <row r="21">
          <cell r="A21" t="str">
            <v>Service area population</v>
          </cell>
          <cell r="B21" t="str">
            <v>POP</v>
          </cell>
          <cell r="C21">
            <v>2008</v>
          </cell>
          <cell r="D21">
            <v>3000</v>
          </cell>
          <cell r="E21">
            <v>182142</v>
          </cell>
          <cell r="F21">
            <v>84379</v>
          </cell>
          <cell r="G21">
            <v>25000</v>
          </cell>
          <cell r="H21">
            <v>92317</v>
          </cell>
          <cell r="I21">
            <v>170100</v>
          </cell>
          <cell r="J21">
            <v>25000</v>
          </cell>
          <cell r="K21">
            <v>133480</v>
          </cell>
          <cell r="L21">
            <v>27698</v>
          </cell>
          <cell r="M21">
            <v>20078</v>
          </cell>
          <cell r="N21">
            <v>2428</v>
          </cell>
          <cell r="O21">
            <v>94769</v>
          </cell>
          <cell r="P21">
            <v>0</v>
          </cell>
          <cell r="Q21">
            <v>4000</v>
          </cell>
          <cell r="R21">
            <v>0</v>
          </cell>
          <cell r="S21">
            <v>21873</v>
          </cell>
          <cell r="T21">
            <v>215718</v>
          </cell>
          <cell r="U21">
            <v>6700</v>
          </cell>
          <cell r="V21">
            <v>710000</v>
          </cell>
          <cell r="W21">
            <v>32042</v>
          </cell>
          <cell r="X21">
            <v>7138</v>
          </cell>
          <cell r="Y21">
            <v>72505</v>
          </cell>
          <cell r="Z21">
            <v>43541</v>
          </cell>
          <cell r="AA21">
            <v>8315</v>
          </cell>
          <cell r="AB21">
            <v>1600</v>
          </cell>
          <cell r="AC21">
            <v>16789</v>
          </cell>
          <cell r="AD21">
            <v>109529</v>
          </cell>
          <cell r="AE21">
            <v>21500</v>
          </cell>
          <cell r="AF21">
            <v>132915</v>
          </cell>
          <cell r="AG21">
            <v>45212</v>
          </cell>
          <cell r="AH21">
            <v>55289</v>
          </cell>
          <cell r="AI21">
            <v>5635</v>
          </cell>
          <cell r="AJ21">
            <v>571552</v>
          </cell>
          <cell r="AK21">
            <v>2600</v>
          </cell>
          <cell r="AL21">
            <v>10500</v>
          </cell>
          <cell r="AM21">
            <v>487230</v>
          </cell>
          <cell r="AN21">
            <v>2891523</v>
          </cell>
          <cell r="AO21">
            <v>808335</v>
          </cell>
          <cell r="AP21">
            <v>31175</v>
          </cell>
          <cell r="AQ21">
            <v>12000</v>
          </cell>
          <cell r="AR21">
            <v>58000</v>
          </cell>
          <cell r="AS21">
            <v>240055</v>
          </cell>
          <cell r="AT21">
            <v>22000</v>
          </cell>
          <cell r="AU21">
            <v>22322</v>
          </cell>
          <cell r="AV21">
            <v>355000</v>
          </cell>
          <cell r="AW21">
            <v>6763</v>
          </cell>
          <cell r="AX21">
            <v>16000</v>
          </cell>
          <cell r="AY21">
            <v>71700</v>
          </cell>
          <cell r="AZ21">
            <v>0</v>
          </cell>
          <cell r="BA21">
            <v>89266</v>
          </cell>
          <cell r="BB21">
            <v>132395</v>
          </cell>
          <cell r="BC21">
            <v>14800</v>
          </cell>
          <cell r="BD21">
            <v>31500</v>
          </cell>
          <cell r="BE21">
            <v>55000</v>
          </cell>
          <cell r="BF21">
            <v>14000</v>
          </cell>
          <cell r="BG21">
            <v>173600</v>
          </cell>
          <cell r="BH21">
            <v>27300</v>
          </cell>
          <cell r="BI21">
            <v>31000</v>
          </cell>
          <cell r="BJ21">
            <v>150000</v>
          </cell>
          <cell r="BK21">
            <v>20200</v>
          </cell>
          <cell r="BL21">
            <v>77948</v>
          </cell>
          <cell r="BM21">
            <v>19170</v>
          </cell>
          <cell r="BN21">
            <v>80253</v>
          </cell>
          <cell r="BO21">
            <v>18003</v>
          </cell>
          <cell r="BP21">
            <v>805479</v>
          </cell>
          <cell r="BQ21">
            <v>7846</v>
          </cell>
          <cell r="BR21">
            <v>9900</v>
          </cell>
          <cell r="BS21">
            <v>5336</v>
          </cell>
          <cell r="BT21">
            <v>36000</v>
          </cell>
          <cell r="BU21">
            <v>110046</v>
          </cell>
          <cell r="BV21">
            <v>15140</v>
          </cell>
          <cell r="BW21">
            <v>2503281</v>
          </cell>
          <cell r="BX21">
            <v>304909</v>
          </cell>
          <cell r="BY21">
            <v>17000</v>
          </cell>
          <cell r="BZ21">
            <v>146610</v>
          </cell>
          <cell r="CA21">
            <v>50331</v>
          </cell>
          <cell r="CB21">
            <v>7200</v>
          </cell>
          <cell r="CC21">
            <v>7411</v>
          </cell>
          <cell r="CD21">
            <v>3900</v>
          </cell>
          <cell r="CE21">
            <v>40000</v>
          </cell>
          <cell r="CF21">
            <v>111184</v>
          </cell>
          <cell r="CG21">
            <v>3500</v>
          </cell>
        </row>
        <row r="22">
          <cell r="A22" t="str">
            <v>Municipal population</v>
          </cell>
          <cell r="B22" t="str">
            <v>POPCITY</v>
          </cell>
          <cell r="C22">
            <v>2008</v>
          </cell>
          <cell r="D22">
            <v>3000</v>
          </cell>
          <cell r="E22">
            <v>197980</v>
          </cell>
          <cell r="F22">
            <v>86689</v>
          </cell>
          <cell r="G22">
            <v>30000</v>
          </cell>
          <cell r="H22">
            <v>92317</v>
          </cell>
          <cell r="I22">
            <v>170100</v>
          </cell>
          <cell r="J22">
            <v>25000</v>
          </cell>
          <cell r="K22">
            <v>133480</v>
          </cell>
          <cell r="L22">
            <v>27698</v>
          </cell>
          <cell r="M22">
            <v>27290</v>
          </cell>
          <cell r="N22">
            <v>2428</v>
          </cell>
          <cell r="O22">
            <v>107615</v>
          </cell>
          <cell r="P22">
            <v>0</v>
          </cell>
          <cell r="Q22">
            <v>12500</v>
          </cell>
          <cell r="R22">
            <v>0</v>
          </cell>
          <cell r="S22">
            <v>74185</v>
          </cell>
          <cell r="T22">
            <v>216473</v>
          </cell>
          <cell r="U22">
            <v>5000</v>
          </cell>
          <cell r="V22">
            <v>710000</v>
          </cell>
          <cell r="W22">
            <v>35246</v>
          </cell>
          <cell r="X22">
            <v>8700</v>
          </cell>
          <cell r="Y22">
            <v>103579</v>
          </cell>
          <cell r="Z22">
            <v>43541</v>
          </cell>
          <cell r="AA22">
            <v>8315</v>
          </cell>
          <cell r="AB22">
            <v>2529</v>
          </cell>
          <cell r="AC22">
            <v>10552</v>
          </cell>
          <cell r="AD22">
            <v>170219</v>
          </cell>
          <cell r="AE22">
            <v>21500</v>
          </cell>
          <cell r="AF22">
            <v>132915</v>
          </cell>
          <cell r="AG22">
            <v>45212</v>
          </cell>
          <cell r="AH22">
            <v>55289</v>
          </cell>
          <cell r="AI22">
            <v>5635</v>
          </cell>
          <cell r="AJ22">
            <v>636548</v>
          </cell>
          <cell r="AK22">
            <v>9500</v>
          </cell>
          <cell r="AL22">
            <v>10500</v>
          </cell>
          <cell r="AM22">
            <v>487230</v>
          </cell>
          <cell r="AN22">
            <v>2891523</v>
          </cell>
          <cell r="AO22">
            <v>898150</v>
          </cell>
          <cell r="AP22">
            <v>31175</v>
          </cell>
          <cell r="AQ22">
            <v>16500</v>
          </cell>
          <cell r="AR22">
            <v>119000</v>
          </cell>
          <cell r="AS22">
            <v>240055</v>
          </cell>
          <cell r="AT22">
            <v>22000</v>
          </cell>
          <cell r="AU22">
            <v>36166</v>
          </cell>
          <cell r="AV22">
            <v>355000</v>
          </cell>
          <cell r="AW22">
            <v>18231</v>
          </cell>
          <cell r="AX22">
            <v>17000</v>
          </cell>
          <cell r="AY22">
            <v>71700</v>
          </cell>
          <cell r="AZ22">
            <v>0</v>
          </cell>
          <cell r="BA22">
            <v>135027</v>
          </cell>
          <cell r="BB22">
            <v>133228</v>
          </cell>
          <cell r="BC22">
            <v>14800</v>
          </cell>
          <cell r="BD22">
            <v>63000</v>
          </cell>
          <cell r="BE22">
            <v>55000</v>
          </cell>
          <cell r="BF22">
            <v>18777</v>
          </cell>
          <cell r="BG22">
            <v>173600</v>
          </cell>
          <cell r="BH22">
            <v>27300</v>
          </cell>
          <cell r="BI22">
            <v>31000</v>
          </cell>
          <cell r="BJ22">
            <v>150000</v>
          </cell>
          <cell r="BK22">
            <v>20200</v>
          </cell>
          <cell r="BL22">
            <v>74948</v>
          </cell>
          <cell r="BM22">
            <v>6500</v>
          </cell>
          <cell r="BN22">
            <v>80253</v>
          </cell>
          <cell r="BO22">
            <v>18003</v>
          </cell>
          <cell r="BP22">
            <v>805479</v>
          </cell>
          <cell r="BQ22">
            <v>7846</v>
          </cell>
          <cell r="BR22">
            <v>16700</v>
          </cell>
          <cell r="BS22">
            <v>5336</v>
          </cell>
          <cell r="BT22">
            <v>36000</v>
          </cell>
          <cell r="BU22">
            <v>109141</v>
          </cell>
          <cell r="BV22">
            <v>15000</v>
          </cell>
          <cell r="BW22">
            <v>2503281</v>
          </cell>
          <cell r="BX22">
            <v>407990</v>
          </cell>
          <cell r="BY22">
            <v>17000</v>
          </cell>
          <cell r="BZ22">
            <v>146610</v>
          </cell>
          <cell r="CA22">
            <v>50331</v>
          </cell>
          <cell r="CB22">
            <v>11500</v>
          </cell>
          <cell r="CC22">
            <v>7411</v>
          </cell>
          <cell r="CD22">
            <v>9000</v>
          </cell>
          <cell r="CE22">
            <v>78420</v>
          </cell>
          <cell r="CF22">
            <v>111184</v>
          </cell>
          <cell r="CG22">
            <v>36000</v>
          </cell>
        </row>
        <row r="23">
          <cell r="A23" t="str">
            <v>No seasonal occupacy customers</v>
          </cell>
          <cell r="B23" t="str">
            <v>YNSUM</v>
          </cell>
          <cell r="C23">
            <v>2008</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3688</v>
          </cell>
          <cell r="AD23">
            <v>142</v>
          </cell>
          <cell r="AE23">
            <v>0</v>
          </cell>
          <cell r="AF23">
            <v>0</v>
          </cell>
          <cell r="AG23">
            <v>0</v>
          </cell>
          <cell r="AH23">
            <v>0</v>
          </cell>
          <cell r="AI23">
            <v>0</v>
          </cell>
          <cell r="AJ23">
            <v>0</v>
          </cell>
          <cell r="AK23">
            <v>0</v>
          </cell>
          <cell r="AL23">
            <v>0</v>
          </cell>
          <cell r="AM23">
            <v>0</v>
          </cell>
          <cell r="AN23">
            <v>155898</v>
          </cell>
          <cell r="AO23">
            <v>0</v>
          </cell>
          <cell r="AP23">
            <v>677</v>
          </cell>
          <cell r="AQ23">
            <v>0</v>
          </cell>
          <cell r="AR23">
            <v>0</v>
          </cell>
          <cell r="AS23">
            <v>0</v>
          </cell>
          <cell r="AT23">
            <v>0</v>
          </cell>
          <cell r="AU23">
            <v>147</v>
          </cell>
          <cell r="AV23">
            <v>0</v>
          </cell>
          <cell r="AW23">
            <v>0</v>
          </cell>
          <cell r="AX23">
            <v>0</v>
          </cell>
          <cell r="AY23">
            <v>0</v>
          </cell>
          <cell r="AZ23">
            <v>0</v>
          </cell>
          <cell r="BA23">
            <v>525</v>
          </cell>
          <cell r="BB23">
            <v>0</v>
          </cell>
          <cell r="BC23">
            <v>250</v>
          </cell>
          <cell r="BD23">
            <v>200</v>
          </cell>
          <cell r="BE23">
            <v>0</v>
          </cell>
          <cell r="BF23">
            <v>0</v>
          </cell>
          <cell r="BG23">
            <v>0</v>
          </cell>
          <cell r="BH23">
            <v>0</v>
          </cell>
          <cell r="BI23">
            <v>0</v>
          </cell>
          <cell r="BJ23">
            <v>0</v>
          </cell>
          <cell r="BK23">
            <v>0</v>
          </cell>
          <cell r="BL23">
            <v>100</v>
          </cell>
          <cell r="BM23">
            <v>0</v>
          </cell>
          <cell r="BN23">
            <v>0</v>
          </cell>
          <cell r="BO23">
            <v>0</v>
          </cell>
          <cell r="BP23">
            <v>0</v>
          </cell>
          <cell r="BQ23">
            <v>0</v>
          </cell>
          <cell r="BR23">
            <v>0</v>
          </cell>
          <cell r="BS23">
            <v>108</v>
          </cell>
          <cell r="BT23">
            <v>0</v>
          </cell>
          <cell r="BU23">
            <v>0</v>
          </cell>
          <cell r="BV23">
            <v>0</v>
          </cell>
          <cell r="BW23">
            <v>0</v>
          </cell>
          <cell r="BX23">
            <v>1603</v>
          </cell>
          <cell r="BY23">
            <v>1200</v>
          </cell>
          <cell r="BZ23">
            <v>0</v>
          </cell>
          <cell r="CA23">
            <v>0</v>
          </cell>
          <cell r="CB23">
            <v>0</v>
          </cell>
          <cell r="CC23">
            <v>0</v>
          </cell>
          <cell r="CD23">
            <v>0</v>
          </cell>
          <cell r="CE23">
            <v>0</v>
          </cell>
          <cell r="CF23">
            <v>0</v>
          </cell>
          <cell r="CG23">
            <v>0</v>
          </cell>
        </row>
        <row r="24">
          <cell r="A24" t="str">
            <v>Utility winter max peak load</v>
          </cell>
          <cell r="B24" t="str">
            <v>PEAKW</v>
          </cell>
          <cell r="C24">
            <v>2008</v>
          </cell>
          <cell r="D24">
            <v>4948</v>
          </cell>
          <cell r="E24">
            <v>319735</v>
          </cell>
          <cell r="F24">
            <v>162830</v>
          </cell>
          <cell r="G24">
            <v>44355</v>
          </cell>
          <cell r="H24">
            <v>157904</v>
          </cell>
          <cell r="I24">
            <v>269003</v>
          </cell>
          <cell r="J24">
            <v>57168</v>
          </cell>
          <cell r="K24">
            <v>244764</v>
          </cell>
          <cell r="L24">
            <v>48155</v>
          </cell>
          <cell r="M24">
            <v>27584</v>
          </cell>
          <cell r="N24">
            <v>6703</v>
          </cell>
          <cell r="O24">
            <v>128591</v>
          </cell>
          <cell r="P24">
            <v>0</v>
          </cell>
          <cell r="Q24">
            <v>6974</v>
          </cell>
          <cell r="R24">
            <v>0</v>
          </cell>
          <cell r="S24">
            <v>44280</v>
          </cell>
          <cell r="T24">
            <v>419000</v>
          </cell>
          <cell r="U24">
            <v>12953</v>
          </cell>
          <cell r="V24">
            <v>1196300</v>
          </cell>
          <cell r="W24">
            <v>77244</v>
          </cell>
          <cell r="X24">
            <v>14006</v>
          </cell>
          <cell r="Y24">
            <v>89667</v>
          </cell>
          <cell r="Z24">
            <v>97999</v>
          </cell>
          <cell r="AA24">
            <v>18421</v>
          </cell>
          <cell r="AB24">
            <v>2125</v>
          </cell>
          <cell r="AC24">
            <v>39583</v>
          </cell>
          <cell r="AD24">
            <v>189105</v>
          </cell>
          <cell r="AE24">
            <v>32246</v>
          </cell>
          <cell r="AF24">
            <v>248660</v>
          </cell>
          <cell r="AG24">
            <v>77749</v>
          </cell>
          <cell r="AH24">
            <v>83557</v>
          </cell>
          <cell r="AI24">
            <v>17862</v>
          </cell>
          <cell r="AJ24">
            <v>927256</v>
          </cell>
          <cell r="AK24">
            <v>6156</v>
          </cell>
          <cell r="AL24">
            <v>35335</v>
          </cell>
          <cell r="AM24">
            <v>597</v>
          </cell>
          <cell r="AN24">
            <v>3867055</v>
          </cell>
          <cell r="AO24">
            <v>1267613</v>
          </cell>
          <cell r="AP24">
            <v>49100</v>
          </cell>
          <cell r="AQ24">
            <v>22435</v>
          </cell>
          <cell r="AR24">
            <v>126174</v>
          </cell>
          <cell r="AS24">
            <v>312977</v>
          </cell>
          <cell r="AT24">
            <v>46944</v>
          </cell>
          <cell r="AU24">
            <v>49384</v>
          </cell>
          <cell r="AV24">
            <v>536384</v>
          </cell>
          <cell r="AW24">
            <v>31936</v>
          </cell>
          <cell r="AX24">
            <v>36876</v>
          </cell>
          <cell r="AY24">
            <v>110590</v>
          </cell>
          <cell r="AZ24">
            <v>0</v>
          </cell>
          <cell r="BA24">
            <v>124190</v>
          </cell>
          <cell r="BB24">
            <v>194310</v>
          </cell>
          <cell r="BC24">
            <v>29013</v>
          </cell>
          <cell r="BD24">
            <v>67627</v>
          </cell>
          <cell r="BE24">
            <v>108731</v>
          </cell>
          <cell r="BF24">
            <v>24006</v>
          </cell>
          <cell r="BG24">
            <v>347832</v>
          </cell>
          <cell r="BH24">
            <v>41257</v>
          </cell>
          <cell r="BI24">
            <v>55775</v>
          </cell>
          <cell r="BJ24">
            <v>208345</v>
          </cell>
          <cell r="BK24">
            <v>37482</v>
          </cell>
          <cell r="BL24">
            <v>139124</v>
          </cell>
          <cell r="BM24">
            <v>18670</v>
          </cell>
          <cell r="BN24">
            <v>148395</v>
          </cell>
          <cell r="BO24">
            <v>34923</v>
          </cell>
          <cell r="BP24">
            <v>1084085</v>
          </cell>
          <cell r="BQ24">
            <v>19183</v>
          </cell>
          <cell r="BR24">
            <v>39622</v>
          </cell>
          <cell r="BS24">
            <v>18091</v>
          </cell>
          <cell r="BT24">
            <v>58384</v>
          </cell>
          <cell r="BU24">
            <v>186530</v>
          </cell>
          <cell r="BV24">
            <v>36361</v>
          </cell>
          <cell r="BW24">
            <v>4095298</v>
          </cell>
          <cell r="BX24">
            <v>435452</v>
          </cell>
          <cell r="BY24">
            <v>25438</v>
          </cell>
          <cell r="BZ24">
            <v>229318</v>
          </cell>
          <cell r="CA24">
            <v>80092</v>
          </cell>
          <cell r="CB24">
            <v>16519</v>
          </cell>
          <cell r="CC24">
            <v>26000</v>
          </cell>
          <cell r="CD24">
            <v>10428</v>
          </cell>
          <cell r="CE24">
            <v>84988</v>
          </cell>
          <cell r="CF24">
            <v>151856</v>
          </cell>
          <cell r="CG24">
            <v>65208</v>
          </cell>
        </row>
        <row r="25">
          <cell r="A25" t="str">
            <v>Utility summer max peak load</v>
          </cell>
          <cell r="B25" t="str">
            <v>PEAKS</v>
          </cell>
          <cell r="C25">
            <v>2008</v>
          </cell>
          <cell r="D25">
            <v>4092</v>
          </cell>
          <cell r="E25">
            <v>318595</v>
          </cell>
          <cell r="F25">
            <v>191640</v>
          </cell>
          <cell r="G25">
            <v>46817</v>
          </cell>
          <cell r="H25">
            <v>182439</v>
          </cell>
          <cell r="I25">
            <v>346409</v>
          </cell>
          <cell r="J25">
            <v>48384</v>
          </cell>
          <cell r="K25">
            <v>291292</v>
          </cell>
          <cell r="L25">
            <v>56171</v>
          </cell>
          <cell r="M25">
            <v>26681</v>
          </cell>
          <cell r="N25">
            <v>5618</v>
          </cell>
          <cell r="O25">
            <v>165946</v>
          </cell>
          <cell r="P25">
            <v>0</v>
          </cell>
          <cell r="Q25">
            <v>5793</v>
          </cell>
          <cell r="R25">
            <v>0</v>
          </cell>
          <cell r="S25">
            <v>58453</v>
          </cell>
          <cell r="T25">
            <v>532600</v>
          </cell>
          <cell r="U25">
            <v>10571</v>
          </cell>
          <cell r="V25">
            <v>1507900</v>
          </cell>
          <cell r="W25">
            <v>69007</v>
          </cell>
          <cell r="X25">
            <v>9562</v>
          </cell>
          <cell r="Y25">
            <v>137328</v>
          </cell>
          <cell r="Z25">
            <v>105205</v>
          </cell>
          <cell r="AA25">
            <v>12843</v>
          </cell>
          <cell r="AB25">
            <v>1300</v>
          </cell>
          <cell r="AC25">
            <v>24929</v>
          </cell>
          <cell r="AD25">
            <v>148081</v>
          </cell>
          <cell r="AE25">
            <v>39817</v>
          </cell>
          <cell r="AF25">
            <v>273898</v>
          </cell>
          <cell r="AG25">
            <v>88198</v>
          </cell>
          <cell r="AH25">
            <v>99539</v>
          </cell>
          <cell r="AI25">
            <v>14301</v>
          </cell>
          <cell r="AJ25">
            <v>1112056</v>
          </cell>
          <cell r="AK25">
            <v>4283</v>
          </cell>
          <cell r="AL25">
            <v>31074</v>
          </cell>
          <cell r="AM25">
            <v>729</v>
          </cell>
          <cell r="AN25">
            <v>3077912</v>
          </cell>
          <cell r="AO25">
            <v>1355421</v>
          </cell>
          <cell r="AP25">
            <v>41063</v>
          </cell>
          <cell r="AQ25">
            <v>20081</v>
          </cell>
          <cell r="AR25">
            <v>110106</v>
          </cell>
          <cell r="AS25">
            <v>350930</v>
          </cell>
          <cell r="AT25">
            <v>45235</v>
          </cell>
          <cell r="AU25">
            <v>34161</v>
          </cell>
          <cell r="AV25">
            <v>659564</v>
          </cell>
          <cell r="AW25">
            <v>36871</v>
          </cell>
          <cell r="AX25">
            <v>38488</v>
          </cell>
          <cell r="AY25">
            <v>125846</v>
          </cell>
          <cell r="AZ25">
            <v>0</v>
          </cell>
          <cell r="BA25">
            <v>141148</v>
          </cell>
          <cell r="BB25">
            <v>249175</v>
          </cell>
          <cell r="BC25">
            <v>40775</v>
          </cell>
          <cell r="BD25">
            <v>75381</v>
          </cell>
          <cell r="BE25">
            <v>81287</v>
          </cell>
          <cell r="BF25">
            <v>19447</v>
          </cell>
          <cell r="BG25">
            <v>346908</v>
          </cell>
          <cell r="BH25">
            <v>42789</v>
          </cell>
          <cell r="BI25">
            <v>50520</v>
          </cell>
          <cell r="BJ25">
            <v>192721</v>
          </cell>
          <cell r="BK25">
            <v>29118</v>
          </cell>
          <cell r="BL25">
            <v>92154</v>
          </cell>
          <cell r="BM25">
            <v>11820</v>
          </cell>
          <cell r="BN25">
            <v>142964</v>
          </cell>
          <cell r="BO25">
            <v>40485</v>
          </cell>
          <cell r="BP25">
            <v>1443918</v>
          </cell>
          <cell r="BQ25">
            <v>17745</v>
          </cell>
          <cell r="BR25">
            <v>21598</v>
          </cell>
          <cell r="BS25">
            <v>11853</v>
          </cell>
          <cell r="BT25">
            <v>67027</v>
          </cell>
          <cell r="BU25">
            <v>161660</v>
          </cell>
          <cell r="BV25">
            <v>41632</v>
          </cell>
          <cell r="BW25">
            <v>4564349</v>
          </cell>
          <cell r="BX25">
            <v>444396</v>
          </cell>
          <cell r="BY25">
            <v>24236</v>
          </cell>
          <cell r="BZ25">
            <v>255540</v>
          </cell>
          <cell r="CA25">
            <v>94801</v>
          </cell>
          <cell r="CB25">
            <v>15025</v>
          </cell>
          <cell r="CC25">
            <v>26000</v>
          </cell>
          <cell r="CD25">
            <v>10924</v>
          </cell>
          <cell r="CE25">
            <v>65309</v>
          </cell>
          <cell r="CF25">
            <v>167732</v>
          </cell>
          <cell r="CG25">
            <v>74117</v>
          </cell>
        </row>
        <row r="26">
          <cell r="A26" t="str">
            <v>Utility average peak load</v>
          </cell>
          <cell r="B26" t="str">
            <v>PEAKA</v>
          </cell>
          <cell r="C26">
            <v>2008</v>
          </cell>
          <cell r="D26">
            <v>4139</v>
          </cell>
          <cell r="E26">
            <v>277972</v>
          </cell>
          <cell r="F26">
            <v>128115</v>
          </cell>
          <cell r="G26">
            <v>42630</v>
          </cell>
          <cell r="H26">
            <v>156316</v>
          </cell>
          <cell r="I26">
            <v>276451</v>
          </cell>
          <cell r="J26">
            <v>49474</v>
          </cell>
          <cell r="K26">
            <v>246659</v>
          </cell>
          <cell r="L26">
            <v>47039</v>
          </cell>
          <cell r="M26">
            <v>25348</v>
          </cell>
          <cell r="N26">
            <v>4629</v>
          </cell>
          <cell r="O26">
            <v>133477</v>
          </cell>
          <cell r="P26">
            <v>0</v>
          </cell>
          <cell r="Q26">
            <v>5627</v>
          </cell>
          <cell r="R26">
            <v>0</v>
          </cell>
          <cell r="S26">
            <v>44779</v>
          </cell>
          <cell r="T26">
            <v>430375</v>
          </cell>
          <cell r="U26">
            <v>11355</v>
          </cell>
          <cell r="V26">
            <v>1238858</v>
          </cell>
          <cell r="W26">
            <v>65935</v>
          </cell>
          <cell r="X26">
            <v>10468</v>
          </cell>
          <cell r="Y26">
            <v>96325</v>
          </cell>
          <cell r="Z26">
            <v>94572</v>
          </cell>
          <cell r="AA26">
            <v>14135</v>
          </cell>
          <cell r="AB26">
            <v>1564</v>
          </cell>
          <cell r="AC26">
            <v>29762</v>
          </cell>
          <cell r="AD26">
            <v>189105</v>
          </cell>
          <cell r="AE26">
            <v>31336</v>
          </cell>
          <cell r="AF26">
            <v>243931</v>
          </cell>
          <cell r="AG26">
            <v>74016</v>
          </cell>
          <cell r="AH26">
            <v>82095</v>
          </cell>
          <cell r="AI26">
            <v>14719</v>
          </cell>
          <cell r="AJ26">
            <v>916790</v>
          </cell>
          <cell r="AK26">
            <v>4332</v>
          </cell>
          <cell r="AL26">
            <v>30858</v>
          </cell>
          <cell r="AM26">
            <v>611</v>
          </cell>
          <cell r="AN26">
            <v>3113787</v>
          </cell>
          <cell r="AO26">
            <v>1169649</v>
          </cell>
          <cell r="AP26">
            <v>41276</v>
          </cell>
          <cell r="AQ26">
            <v>18274</v>
          </cell>
          <cell r="AR26">
            <v>110027</v>
          </cell>
          <cell r="AS26">
            <v>304510</v>
          </cell>
          <cell r="AT26">
            <v>42577</v>
          </cell>
          <cell r="AU26">
            <v>36543</v>
          </cell>
          <cell r="AV26">
            <v>541266</v>
          </cell>
          <cell r="AW26">
            <v>31895</v>
          </cell>
          <cell r="AX26">
            <v>35244</v>
          </cell>
          <cell r="AY26">
            <v>108981</v>
          </cell>
          <cell r="AZ26">
            <v>0</v>
          </cell>
          <cell r="BA26">
            <v>122276</v>
          </cell>
          <cell r="BB26">
            <v>198648</v>
          </cell>
          <cell r="BC26">
            <v>30128</v>
          </cell>
          <cell r="BD26">
            <v>65146</v>
          </cell>
          <cell r="BE26">
            <v>89804</v>
          </cell>
          <cell r="BF26">
            <v>20248</v>
          </cell>
          <cell r="BG26">
            <v>276001</v>
          </cell>
          <cell r="BH26">
            <v>39097</v>
          </cell>
          <cell r="BI26">
            <v>49220</v>
          </cell>
          <cell r="BJ26">
            <v>184389</v>
          </cell>
          <cell r="BK26">
            <v>28131</v>
          </cell>
          <cell r="BL26">
            <v>109253</v>
          </cell>
          <cell r="BM26">
            <v>13970</v>
          </cell>
          <cell r="BN26">
            <v>132690</v>
          </cell>
          <cell r="BO26">
            <v>34804</v>
          </cell>
          <cell r="BP26">
            <v>1141832</v>
          </cell>
          <cell r="BQ26">
            <v>16731</v>
          </cell>
          <cell r="BR26">
            <v>21600</v>
          </cell>
          <cell r="BS26">
            <v>13292</v>
          </cell>
          <cell r="BT26">
            <v>56122</v>
          </cell>
          <cell r="BU26">
            <v>158988</v>
          </cell>
          <cell r="BV26">
            <v>35707</v>
          </cell>
          <cell r="BW26">
            <v>3962494</v>
          </cell>
          <cell r="BX26">
            <v>405306</v>
          </cell>
          <cell r="BY26">
            <v>20650</v>
          </cell>
          <cell r="BZ26">
            <v>223576</v>
          </cell>
          <cell r="CA26">
            <v>79945</v>
          </cell>
          <cell r="CB26">
            <v>15119</v>
          </cell>
          <cell r="CC26">
            <v>24000</v>
          </cell>
          <cell r="CD26">
            <v>9664</v>
          </cell>
          <cell r="CE26">
            <v>72343</v>
          </cell>
          <cell r="CF26">
            <v>144472</v>
          </cell>
          <cell r="CG26">
            <v>64012</v>
          </cell>
        </row>
        <row r="27">
          <cell r="A27" t="str">
            <v>Total circuit kms of line</v>
          </cell>
          <cell r="B27" t="str">
            <v>KMC</v>
          </cell>
          <cell r="C27">
            <v>2008</v>
          </cell>
          <cell r="D27">
            <v>92</v>
          </cell>
          <cell r="E27">
            <v>1482</v>
          </cell>
          <cell r="F27">
            <v>747</v>
          </cell>
          <cell r="G27">
            <v>320</v>
          </cell>
          <cell r="H27">
            <v>486</v>
          </cell>
          <cell r="I27">
            <v>1643</v>
          </cell>
          <cell r="J27">
            <v>327</v>
          </cell>
          <cell r="K27">
            <v>1112</v>
          </cell>
          <cell r="L27">
            <v>524</v>
          </cell>
          <cell r="M27">
            <v>146</v>
          </cell>
          <cell r="N27">
            <v>27</v>
          </cell>
          <cell r="O27">
            <v>795</v>
          </cell>
          <cell r="P27">
            <v>0</v>
          </cell>
          <cell r="Q27">
            <v>27</v>
          </cell>
          <cell r="R27">
            <v>0</v>
          </cell>
          <cell r="S27">
            <v>147</v>
          </cell>
          <cell r="T27">
            <v>1133</v>
          </cell>
          <cell r="U27">
            <v>177</v>
          </cell>
          <cell r="V27">
            <v>5246</v>
          </cell>
          <cell r="W27">
            <v>265</v>
          </cell>
          <cell r="X27">
            <v>137</v>
          </cell>
          <cell r="Y27">
            <v>467</v>
          </cell>
          <cell r="Z27">
            <v>274</v>
          </cell>
          <cell r="AA27">
            <v>84</v>
          </cell>
          <cell r="AB27">
            <v>9</v>
          </cell>
          <cell r="AC27">
            <v>1845</v>
          </cell>
          <cell r="AD27">
            <v>871</v>
          </cell>
          <cell r="AE27">
            <v>238</v>
          </cell>
          <cell r="AF27">
            <v>1049</v>
          </cell>
          <cell r="AG27">
            <v>1716</v>
          </cell>
          <cell r="AH27">
            <v>1363</v>
          </cell>
          <cell r="AI27">
            <v>68</v>
          </cell>
          <cell r="AJ27">
            <v>3294</v>
          </cell>
          <cell r="AK27">
            <v>21</v>
          </cell>
          <cell r="AL27">
            <v>65</v>
          </cell>
          <cell r="AM27">
            <v>2744</v>
          </cell>
          <cell r="AN27">
            <v>120516</v>
          </cell>
          <cell r="AO27">
            <v>5353</v>
          </cell>
          <cell r="AP27">
            <v>647</v>
          </cell>
          <cell r="AQ27">
            <v>98</v>
          </cell>
          <cell r="AR27">
            <v>386</v>
          </cell>
          <cell r="AS27">
            <v>1872</v>
          </cell>
          <cell r="AT27">
            <v>114</v>
          </cell>
          <cell r="AU27">
            <v>355</v>
          </cell>
          <cell r="AV27">
            <v>2781</v>
          </cell>
          <cell r="AW27">
            <v>106</v>
          </cell>
          <cell r="AX27">
            <v>115</v>
          </cell>
          <cell r="AY27">
            <v>866</v>
          </cell>
          <cell r="AZ27">
            <v>0</v>
          </cell>
          <cell r="BA27">
            <v>1050</v>
          </cell>
          <cell r="BB27">
            <v>1820</v>
          </cell>
          <cell r="BC27">
            <v>337</v>
          </cell>
          <cell r="BD27">
            <v>691</v>
          </cell>
          <cell r="BE27">
            <v>612</v>
          </cell>
          <cell r="BF27">
            <v>370</v>
          </cell>
          <cell r="BG27">
            <v>1414</v>
          </cell>
          <cell r="BH27">
            <v>161</v>
          </cell>
          <cell r="BI27">
            <v>304</v>
          </cell>
          <cell r="BJ27">
            <v>948</v>
          </cell>
          <cell r="BK27">
            <v>146</v>
          </cell>
          <cell r="BL27">
            <v>728</v>
          </cell>
          <cell r="BM27">
            <v>128</v>
          </cell>
          <cell r="BN27">
            <v>550</v>
          </cell>
          <cell r="BO27">
            <v>311</v>
          </cell>
          <cell r="BP27">
            <v>6109</v>
          </cell>
          <cell r="BQ27">
            <v>55</v>
          </cell>
          <cell r="BR27">
            <v>88</v>
          </cell>
          <cell r="BS27">
            <v>211</v>
          </cell>
          <cell r="BT27">
            <v>244</v>
          </cell>
          <cell r="BU27">
            <v>1172</v>
          </cell>
          <cell r="BV27">
            <v>156</v>
          </cell>
          <cell r="BW27">
            <v>9816</v>
          </cell>
          <cell r="BX27">
            <v>2135</v>
          </cell>
          <cell r="BY27">
            <v>232</v>
          </cell>
          <cell r="BZ27">
            <v>1542</v>
          </cell>
          <cell r="CA27">
            <v>443</v>
          </cell>
          <cell r="CB27">
            <v>75</v>
          </cell>
          <cell r="CC27">
            <v>65</v>
          </cell>
          <cell r="CD27">
            <v>36</v>
          </cell>
          <cell r="CE27">
            <v>440</v>
          </cell>
          <cell r="CF27">
            <v>1030</v>
          </cell>
          <cell r="CG27">
            <v>246</v>
          </cell>
        </row>
        <row r="28">
          <cell r="A28" t="str">
            <v>Overhead circuit kms of line</v>
          </cell>
          <cell r="B28" t="str">
            <v>KMCO</v>
          </cell>
          <cell r="C28">
            <v>2008</v>
          </cell>
          <cell r="D28">
            <v>92</v>
          </cell>
          <cell r="E28">
            <v>667</v>
          </cell>
          <cell r="F28">
            <v>574</v>
          </cell>
          <cell r="G28">
            <v>282</v>
          </cell>
          <cell r="H28">
            <v>265</v>
          </cell>
          <cell r="I28">
            <v>1002</v>
          </cell>
          <cell r="J28">
            <v>214</v>
          </cell>
          <cell r="K28">
            <v>730</v>
          </cell>
          <cell r="L28">
            <v>482</v>
          </cell>
          <cell r="M28">
            <v>77</v>
          </cell>
          <cell r="N28">
            <v>26</v>
          </cell>
          <cell r="O28">
            <v>569</v>
          </cell>
          <cell r="P28">
            <v>0</v>
          </cell>
          <cell r="Q28">
            <v>15</v>
          </cell>
          <cell r="R28">
            <v>0</v>
          </cell>
          <cell r="S28">
            <v>89</v>
          </cell>
          <cell r="T28">
            <v>723</v>
          </cell>
          <cell r="U28">
            <v>168</v>
          </cell>
          <cell r="V28">
            <v>1816</v>
          </cell>
          <cell r="W28">
            <v>210</v>
          </cell>
          <cell r="X28">
            <v>126</v>
          </cell>
          <cell r="Y28">
            <v>227</v>
          </cell>
          <cell r="Z28">
            <v>184</v>
          </cell>
          <cell r="AA28">
            <v>76</v>
          </cell>
          <cell r="AB28">
            <v>8</v>
          </cell>
          <cell r="AC28">
            <v>1841</v>
          </cell>
          <cell r="AD28">
            <v>696</v>
          </cell>
          <cell r="AE28">
            <v>178</v>
          </cell>
          <cell r="AF28">
            <v>429</v>
          </cell>
          <cell r="AG28">
            <v>1633</v>
          </cell>
          <cell r="AH28">
            <v>882</v>
          </cell>
          <cell r="AI28">
            <v>57</v>
          </cell>
          <cell r="AJ28">
            <v>1519</v>
          </cell>
          <cell r="AK28">
            <v>18</v>
          </cell>
          <cell r="AL28">
            <v>56</v>
          </cell>
          <cell r="AM28">
            <v>806</v>
          </cell>
          <cell r="AN28">
            <v>116265</v>
          </cell>
          <cell r="AO28">
            <v>2730</v>
          </cell>
          <cell r="AP28">
            <v>525</v>
          </cell>
          <cell r="AQ28">
            <v>88</v>
          </cell>
          <cell r="AR28">
            <v>252</v>
          </cell>
          <cell r="AS28">
            <v>1044</v>
          </cell>
          <cell r="AT28">
            <v>95</v>
          </cell>
          <cell r="AU28">
            <v>284</v>
          </cell>
          <cell r="AV28">
            <v>1369</v>
          </cell>
          <cell r="AW28">
            <v>81</v>
          </cell>
          <cell r="AX28">
            <v>79</v>
          </cell>
          <cell r="AY28">
            <v>546</v>
          </cell>
          <cell r="AZ28">
            <v>0</v>
          </cell>
          <cell r="BA28">
            <v>583</v>
          </cell>
          <cell r="BB28">
            <v>1387</v>
          </cell>
          <cell r="BC28">
            <v>247</v>
          </cell>
          <cell r="BD28">
            <v>607</v>
          </cell>
          <cell r="BE28">
            <v>516</v>
          </cell>
          <cell r="BF28">
            <v>365</v>
          </cell>
          <cell r="BG28">
            <v>547</v>
          </cell>
          <cell r="BH28">
            <v>95</v>
          </cell>
          <cell r="BI28">
            <v>245</v>
          </cell>
          <cell r="BJ28">
            <v>510</v>
          </cell>
          <cell r="BK28">
            <v>127</v>
          </cell>
          <cell r="BL28">
            <v>612</v>
          </cell>
          <cell r="BM28">
            <v>117</v>
          </cell>
          <cell r="BN28">
            <v>384</v>
          </cell>
          <cell r="BO28">
            <v>296</v>
          </cell>
          <cell r="BP28">
            <v>1925</v>
          </cell>
          <cell r="BQ28">
            <v>53</v>
          </cell>
          <cell r="BR28">
            <v>79</v>
          </cell>
          <cell r="BS28">
            <v>205</v>
          </cell>
          <cell r="BT28">
            <v>158</v>
          </cell>
          <cell r="BU28">
            <v>940</v>
          </cell>
          <cell r="BV28">
            <v>102</v>
          </cell>
          <cell r="BW28">
            <v>4218</v>
          </cell>
          <cell r="BX28">
            <v>1386</v>
          </cell>
          <cell r="BY28">
            <v>125</v>
          </cell>
          <cell r="BZ28">
            <v>1059</v>
          </cell>
          <cell r="CA28">
            <v>330</v>
          </cell>
          <cell r="CB28">
            <v>66</v>
          </cell>
          <cell r="CC28">
            <v>52</v>
          </cell>
          <cell r="CD28">
            <v>25</v>
          </cell>
          <cell r="CE28">
            <v>309</v>
          </cell>
          <cell r="CF28">
            <v>495</v>
          </cell>
          <cell r="CG28">
            <v>156</v>
          </cell>
        </row>
        <row r="29">
          <cell r="A29" t="str">
            <v>Underground circuit kms ofline</v>
          </cell>
          <cell r="B29" t="str">
            <v>KMCU</v>
          </cell>
          <cell r="C29">
            <v>2008</v>
          </cell>
          <cell r="D29">
            <v>0</v>
          </cell>
          <cell r="E29">
            <v>815</v>
          </cell>
          <cell r="F29">
            <v>173</v>
          </cell>
          <cell r="G29">
            <v>38</v>
          </cell>
          <cell r="H29">
            <v>221</v>
          </cell>
          <cell r="I29">
            <v>641</v>
          </cell>
          <cell r="J29">
            <v>113</v>
          </cell>
          <cell r="K29">
            <v>382</v>
          </cell>
          <cell r="L29">
            <v>42</v>
          </cell>
          <cell r="M29">
            <v>69</v>
          </cell>
          <cell r="N29">
            <v>1</v>
          </cell>
          <cell r="O29">
            <v>226</v>
          </cell>
          <cell r="P29">
            <v>0</v>
          </cell>
          <cell r="Q29">
            <v>12</v>
          </cell>
          <cell r="R29">
            <v>0</v>
          </cell>
          <cell r="S29">
            <v>58</v>
          </cell>
          <cell r="T29">
            <v>410</v>
          </cell>
          <cell r="U29">
            <v>9</v>
          </cell>
          <cell r="V29">
            <v>3430</v>
          </cell>
          <cell r="W29">
            <v>55</v>
          </cell>
          <cell r="X29">
            <v>11</v>
          </cell>
          <cell r="Y29">
            <v>240</v>
          </cell>
          <cell r="Z29">
            <v>90</v>
          </cell>
          <cell r="AA29">
            <v>8</v>
          </cell>
          <cell r="AB29">
            <v>1</v>
          </cell>
          <cell r="AC29">
            <v>4</v>
          </cell>
          <cell r="AD29">
            <v>175</v>
          </cell>
          <cell r="AE29">
            <v>60</v>
          </cell>
          <cell r="AF29">
            <v>620</v>
          </cell>
          <cell r="AG29">
            <v>83</v>
          </cell>
          <cell r="AH29">
            <v>481</v>
          </cell>
          <cell r="AI29">
            <v>11</v>
          </cell>
          <cell r="AJ29">
            <v>1775</v>
          </cell>
          <cell r="AK29">
            <v>3</v>
          </cell>
          <cell r="AL29">
            <v>9</v>
          </cell>
          <cell r="AM29">
            <v>1938</v>
          </cell>
          <cell r="AN29">
            <v>4251</v>
          </cell>
          <cell r="AO29">
            <v>2623</v>
          </cell>
          <cell r="AP29">
            <v>122</v>
          </cell>
          <cell r="AQ29">
            <v>10</v>
          </cell>
          <cell r="AR29">
            <v>134</v>
          </cell>
          <cell r="AS29">
            <v>828</v>
          </cell>
          <cell r="AT29">
            <v>19</v>
          </cell>
          <cell r="AU29">
            <v>71</v>
          </cell>
          <cell r="AV29">
            <v>1412</v>
          </cell>
          <cell r="AW29">
            <v>25</v>
          </cell>
          <cell r="AX29">
            <v>36</v>
          </cell>
          <cell r="AY29">
            <v>320</v>
          </cell>
          <cell r="AZ29">
            <v>0</v>
          </cell>
          <cell r="BA29">
            <v>467</v>
          </cell>
          <cell r="BB29">
            <v>433</v>
          </cell>
          <cell r="BC29">
            <v>90</v>
          </cell>
          <cell r="BD29">
            <v>84</v>
          </cell>
          <cell r="BE29">
            <v>96</v>
          </cell>
          <cell r="BF29">
            <v>5</v>
          </cell>
          <cell r="BG29">
            <v>867</v>
          </cell>
          <cell r="BH29">
            <v>66</v>
          </cell>
          <cell r="BI29">
            <v>59</v>
          </cell>
          <cell r="BJ29">
            <v>438</v>
          </cell>
          <cell r="BK29">
            <v>19</v>
          </cell>
          <cell r="BL29">
            <v>116</v>
          </cell>
          <cell r="BM29">
            <v>11</v>
          </cell>
          <cell r="BN29">
            <v>166</v>
          </cell>
          <cell r="BO29">
            <v>15</v>
          </cell>
          <cell r="BP29">
            <v>4184</v>
          </cell>
          <cell r="BQ29">
            <v>2</v>
          </cell>
          <cell r="BR29">
            <v>9</v>
          </cell>
          <cell r="BS29">
            <v>6</v>
          </cell>
          <cell r="BT29">
            <v>86</v>
          </cell>
          <cell r="BU29">
            <v>232</v>
          </cell>
          <cell r="BV29">
            <v>54</v>
          </cell>
          <cell r="BW29">
            <v>5598</v>
          </cell>
          <cell r="BX29">
            <v>749</v>
          </cell>
          <cell r="BY29">
            <v>107</v>
          </cell>
          <cell r="BZ29">
            <v>483</v>
          </cell>
          <cell r="CA29">
            <v>113</v>
          </cell>
          <cell r="CB29">
            <v>9</v>
          </cell>
          <cell r="CC29">
            <v>13</v>
          </cell>
          <cell r="CD29">
            <v>11</v>
          </cell>
          <cell r="CE29">
            <v>131</v>
          </cell>
          <cell r="CF29">
            <v>535</v>
          </cell>
          <cell r="CG29">
            <v>90</v>
          </cell>
        </row>
        <row r="30">
          <cell r="A30" t="str">
            <v>Circuit kilometers 3 phase</v>
          </cell>
          <cell r="B30" t="str">
            <v>KMC3</v>
          </cell>
          <cell r="C30">
            <v>2008</v>
          </cell>
          <cell r="D30">
            <v>47</v>
          </cell>
          <cell r="E30">
            <v>707</v>
          </cell>
          <cell r="F30">
            <v>419</v>
          </cell>
          <cell r="G30">
            <v>162</v>
          </cell>
          <cell r="H30">
            <v>228</v>
          </cell>
          <cell r="I30">
            <v>816</v>
          </cell>
          <cell r="J30">
            <v>172</v>
          </cell>
          <cell r="K30">
            <v>472</v>
          </cell>
          <cell r="L30">
            <v>316</v>
          </cell>
          <cell r="M30">
            <v>69</v>
          </cell>
          <cell r="N30">
            <v>16</v>
          </cell>
          <cell r="O30">
            <v>505</v>
          </cell>
          <cell r="P30">
            <v>0</v>
          </cell>
          <cell r="Q30">
            <v>12</v>
          </cell>
          <cell r="R30">
            <v>0</v>
          </cell>
          <cell r="S30">
            <v>72</v>
          </cell>
          <cell r="T30">
            <v>612</v>
          </cell>
          <cell r="U30">
            <v>106</v>
          </cell>
          <cell r="V30">
            <v>3168</v>
          </cell>
          <cell r="W30">
            <v>143</v>
          </cell>
          <cell r="X30">
            <v>31</v>
          </cell>
          <cell r="Y30">
            <v>167</v>
          </cell>
          <cell r="Z30">
            <v>146</v>
          </cell>
          <cell r="AA30">
            <v>48</v>
          </cell>
          <cell r="AB30">
            <v>4</v>
          </cell>
          <cell r="AC30">
            <v>442</v>
          </cell>
          <cell r="AD30">
            <v>501</v>
          </cell>
          <cell r="AE30">
            <v>105</v>
          </cell>
          <cell r="AF30">
            <v>473</v>
          </cell>
          <cell r="AG30">
            <v>612</v>
          </cell>
          <cell r="AH30">
            <v>408</v>
          </cell>
          <cell r="AI30">
            <v>27</v>
          </cell>
          <cell r="AJ30">
            <v>1722</v>
          </cell>
          <cell r="AK30">
            <v>10</v>
          </cell>
          <cell r="AL30">
            <v>42</v>
          </cell>
          <cell r="AM30">
            <v>1166</v>
          </cell>
          <cell r="AN30">
            <v>45471</v>
          </cell>
          <cell r="AO30">
            <v>2969</v>
          </cell>
          <cell r="AP30">
            <v>365</v>
          </cell>
          <cell r="AQ30">
            <v>61</v>
          </cell>
          <cell r="AR30">
            <v>288</v>
          </cell>
          <cell r="AS30">
            <v>800</v>
          </cell>
          <cell r="AT30">
            <v>76</v>
          </cell>
          <cell r="AU30">
            <v>163</v>
          </cell>
          <cell r="AV30">
            <v>1323</v>
          </cell>
          <cell r="AW30">
            <v>61</v>
          </cell>
          <cell r="AX30">
            <v>79</v>
          </cell>
          <cell r="AY30">
            <v>429</v>
          </cell>
          <cell r="AZ30">
            <v>0</v>
          </cell>
          <cell r="BA30">
            <v>324</v>
          </cell>
          <cell r="BB30">
            <v>799</v>
          </cell>
          <cell r="BC30">
            <v>178</v>
          </cell>
          <cell r="BD30">
            <v>332</v>
          </cell>
          <cell r="BE30">
            <v>366</v>
          </cell>
          <cell r="BF30">
            <v>200</v>
          </cell>
          <cell r="BG30">
            <v>731</v>
          </cell>
          <cell r="BH30">
            <v>91</v>
          </cell>
          <cell r="BI30">
            <v>222</v>
          </cell>
          <cell r="BJ30">
            <v>353</v>
          </cell>
          <cell r="BK30">
            <v>94</v>
          </cell>
          <cell r="BL30">
            <v>455</v>
          </cell>
          <cell r="BM30">
            <v>84</v>
          </cell>
          <cell r="BN30">
            <v>349</v>
          </cell>
          <cell r="BO30">
            <v>175</v>
          </cell>
          <cell r="BP30">
            <v>2815</v>
          </cell>
          <cell r="BQ30">
            <v>34</v>
          </cell>
          <cell r="BR30">
            <v>44</v>
          </cell>
          <cell r="BS30">
            <v>72</v>
          </cell>
          <cell r="BT30">
            <v>143</v>
          </cell>
          <cell r="BU30">
            <v>639</v>
          </cell>
          <cell r="BV30">
            <v>72</v>
          </cell>
          <cell r="BW30">
            <v>6004</v>
          </cell>
          <cell r="BX30">
            <v>1076</v>
          </cell>
          <cell r="BY30">
            <v>96</v>
          </cell>
          <cell r="BZ30">
            <v>702</v>
          </cell>
          <cell r="CA30">
            <v>285</v>
          </cell>
          <cell r="CB30">
            <v>47</v>
          </cell>
          <cell r="CC30">
            <v>44</v>
          </cell>
          <cell r="CD30">
            <v>18</v>
          </cell>
          <cell r="CE30">
            <v>249</v>
          </cell>
          <cell r="CF30">
            <v>466</v>
          </cell>
          <cell r="CG30">
            <v>162</v>
          </cell>
        </row>
        <row r="31">
          <cell r="A31" t="str">
            <v>Circuit kilometers 2 phase</v>
          </cell>
          <cell r="B31" t="str">
            <v>KMC2</v>
          </cell>
          <cell r="C31">
            <v>2008</v>
          </cell>
          <cell r="D31">
            <v>0</v>
          </cell>
          <cell r="E31">
            <v>0</v>
          </cell>
          <cell r="F31">
            <v>5</v>
          </cell>
          <cell r="G31">
            <v>10</v>
          </cell>
          <cell r="H31">
            <v>0</v>
          </cell>
          <cell r="I31">
            <v>0</v>
          </cell>
          <cell r="J31">
            <v>8</v>
          </cell>
          <cell r="K31">
            <v>2</v>
          </cell>
          <cell r="L31">
            <v>88</v>
          </cell>
          <cell r="M31">
            <v>0</v>
          </cell>
          <cell r="N31">
            <v>2</v>
          </cell>
          <cell r="O31">
            <v>2</v>
          </cell>
          <cell r="P31">
            <v>0</v>
          </cell>
          <cell r="Q31">
            <v>1</v>
          </cell>
          <cell r="R31">
            <v>0</v>
          </cell>
          <cell r="S31">
            <v>2</v>
          </cell>
          <cell r="T31">
            <v>24</v>
          </cell>
          <cell r="U31">
            <v>9</v>
          </cell>
          <cell r="V31">
            <v>101</v>
          </cell>
          <cell r="W31">
            <v>2</v>
          </cell>
          <cell r="X31">
            <v>1</v>
          </cell>
          <cell r="Y31">
            <v>0</v>
          </cell>
          <cell r="Z31">
            <v>5</v>
          </cell>
          <cell r="AA31">
            <v>8</v>
          </cell>
          <cell r="AB31">
            <v>0</v>
          </cell>
          <cell r="AC31">
            <v>38</v>
          </cell>
          <cell r="AD31">
            <v>0</v>
          </cell>
          <cell r="AE31">
            <v>0</v>
          </cell>
          <cell r="AF31">
            <v>0</v>
          </cell>
          <cell r="AG31">
            <v>59</v>
          </cell>
          <cell r="AH31">
            <v>0</v>
          </cell>
          <cell r="AI31">
            <v>0</v>
          </cell>
          <cell r="AJ31">
            <v>21</v>
          </cell>
          <cell r="AK31">
            <v>2</v>
          </cell>
          <cell r="AL31">
            <v>0</v>
          </cell>
          <cell r="AM31">
            <v>21</v>
          </cell>
          <cell r="AN31">
            <v>3603</v>
          </cell>
          <cell r="AO31">
            <v>165</v>
          </cell>
          <cell r="AP31">
            <v>16</v>
          </cell>
          <cell r="AQ31">
            <v>0</v>
          </cell>
          <cell r="AR31">
            <v>3</v>
          </cell>
          <cell r="AS31">
            <v>0</v>
          </cell>
          <cell r="AT31">
            <v>0</v>
          </cell>
          <cell r="AU31">
            <v>6</v>
          </cell>
          <cell r="AV31">
            <v>0</v>
          </cell>
          <cell r="AW31">
            <v>1</v>
          </cell>
          <cell r="AX31">
            <v>0</v>
          </cell>
          <cell r="AY31">
            <v>25</v>
          </cell>
          <cell r="AZ31">
            <v>0</v>
          </cell>
          <cell r="BA31">
            <v>7</v>
          </cell>
          <cell r="BB31">
            <v>3</v>
          </cell>
          <cell r="BC31">
            <v>1</v>
          </cell>
          <cell r="BD31">
            <v>0</v>
          </cell>
          <cell r="BE31">
            <v>0</v>
          </cell>
          <cell r="BF31">
            <v>0</v>
          </cell>
          <cell r="BG31">
            <v>0</v>
          </cell>
          <cell r="BH31">
            <v>0</v>
          </cell>
          <cell r="BI31">
            <v>6</v>
          </cell>
          <cell r="BJ31">
            <v>0</v>
          </cell>
          <cell r="BK31">
            <v>1</v>
          </cell>
          <cell r="BL31">
            <v>10</v>
          </cell>
          <cell r="BM31">
            <v>0</v>
          </cell>
          <cell r="BN31">
            <v>8</v>
          </cell>
          <cell r="BO31">
            <v>0</v>
          </cell>
          <cell r="BP31">
            <v>91</v>
          </cell>
          <cell r="BQ31">
            <v>1</v>
          </cell>
          <cell r="BR31">
            <v>0</v>
          </cell>
          <cell r="BS31">
            <v>0</v>
          </cell>
          <cell r="BT31">
            <v>13</v>
          </cell>
          <cell r="BU31">
            <v>0</v>
          </cell>
          <cell r="BV31">
            <v>0</v>
          </cell>
          <cell r="BW31">
            <v>62</v>
          </cell>
          <cell r="BX31">
            <v>22</v>
          </cell>
          <cell r="BY31">
            <v>9</v>
          </cell>
          <cell r="BZ31">
            <v>7</v>
          </cell>
          <cell r="CA31">
            <v>1</v>
          </cell>
          <cell r="CB31">
            <v>0</v>
          </cell>
          <cell r="CC31">
            <v>0</v>
          </cell>
          <cell r="CD31">
            <v>0</v>
          </cell>
          <cell r="CE31">
            <v>4</v>
          </cell>
          <cell r="CF31">
            <v>11</v>
          </cell>
          <cell r="CG31">
            <v>3</v>
          </cell>
        </row>
        <row r="32">
          <cell r="A32" t="str">
            <v>Circuit kms single phase</v>
          </cell>
          <cell r="B32" t="str">
            <v>KMC1</v>
          </cell>
          <cell r="C32">
            <v>2008</v>
          </cell>
          <cell r="D32">
            <v>45</v>
          </cell>
          <cell r="E32">
            <v>775</v>
          </cell>
          <cell r="F32">
            <v>323</v>
          </cell>
          <cell r="G32">
            <v>148</v>
          </cell>
          <cell r="H32">
            <v>258</v>
          </cell>
          <cell r="I32">
            <v>827</v>
          </cell>
          <cell r="J32">
            <v>147</v>
          </cell>
          <cell r="K32">
            <v>638</v>
          </cell>
          <cell r="L32">
            <v>120</v>
          </cell>
          <cell r="M32">
            <v>77</v>
          </cell>
          <cell r="N32">
            <v>9</v>
          </cell>
          <cell r="O32">
            <v>288</v>
          </cell>
          <cell r="P32">
            <v>0</v>
          </cell>
          <cell r="Q32">
            <v>14</v>
          </cell>
          <cell r="R32">
            <v>0</v>
          </cell>
          <cell r="S32">
            <v>73</v>
          </cell>
          <cell r="T32">
            <v>497</v>
          </cell>
          <cell r="U32">
            <v>62</v>
          </cell>
          <cell r="V32">
            <v>1977</v>
          </cell>
          <cell r="W32">
            <v>120</v>
          </cell>
          <cell r="X32">
            <v>105</v>
          </cell>
          <cell r="Y32">
            <v>300</v>
          </cell>
          <cell r="Z32">
            <v>123</v>
          </cell>
          <cell r="AA32">
            <v>28</v>
          </cell>
          <cell r="AB32">
            <v>5</v>
          </cell>
          <cell r="AC32">
            <v>1365</v>
          </cell>
          <cell r="AD32">
            <v>370</v>
          </cell>
          <cell r="AE32">
            <v>133</v>
          </cell>
          <cell r="AF32">
            <v>576</v>
          </cell>
          <cell r="AG32">
            <v>1045</v>
          </cell>
          <cell r="AH32">
            <v>955</v>
          </cell>
          <cell r="AI32">
            <v>41</v>
          </cell>
          <cell r="AJ32">
            <v>1551</v>
          </cell>
          <cell r="AK32">
            <v>9</v>
          </cell>
          <cell r="AL32">
            <v>23</v>
          </cell>
          <cell r="AM32">
            <v>1557</v>
          </cell>
          <cell r="AN32">
            <v>71442</v>
          </cell>
          <cell r="AO32">
            <v>2219</v>
          </cell>
          <cell r="AP32">
            <v>266</v>
          </cell>
          <cell r="AQ32">
            <v>37</v>
          </cell>
          <cell r="AR32">
            <v>95</v>
          </cell>
          <cell r="AS32">
            <v>1072</v>
          </cell>
          <cell r="AT32">
            <v>38</v>
          </cell>
          <cell r="AU32">
            <v>186</v>
          </cell>
          <cell r="AV32">
            <v>1458</v>
          </cell>
          <cell r="AW32">
            <v>44</v>
          </cell>
          <cell r="AX32">
            <v>36</v>
          </cell>
          <cell r="AY32">
            <v>412</v>
          </cell>
          <cell r="AZ32">
            <v>0</v>
          </cell>
          <cell r="BA32">
            <v>719</v>
          </cell>
          <cell r="BB32">
            <v>1018</v>
          </cell>
          <cell r="BC32">
            <v>158</v>
          </cell>
          <cell r="BD32">
            <v>359</v>
          </cell>
          <cell r="BE32">
            <v>246</v>
          </cell>
          <cell r="BF32">
            <v>170</v>
          </cell>
          <cell r="BG32">
            <v>683</v>
          </cell>
          <cell r="BH32">
            <v>70</v>
          </cell>
          <cell r="BI32">
            <v>76</v>
          </cell>
          <cell r="BJ32">
            <v>595</v>
          </cell>
          <cell r="BK32">
            <v>51</v>
          </cell>
          <cell r="BL32">
            <v>263</v>
          </cell>
          <cell r="BM32">
            <v>44</v>
          </cell>
          <cell r="BN32">
            <v>193</v>
          </cell>
          <cell r="BO32">
            <v>136</v>
          </cell>
          <cell r="BP32">
            <v>3203</v>
          </cell>
          <cell r="BQ32">
            <v>20</v>
          </cell>
          <cell r="BR32">
            <v>44</v>
          </cell>
          <cell r="BS32">
            <v>139</v>
          </cell>
          <cell r="BT32">
            <v>88</v>
          </cell>
          <cell r="BU32">
            <v>533</v>
          </cell>
          <cell r="BV32">
            <v>84</v>
          </cell>
          <cell r="BW32">
            <v>3750</v>
          </cell>
          <cell r="BX32">
            <v>1037</v>
          </cell>
          <cell r="BY32">
            <v>127</v>
          </cell>
          <cell r="BZ32">
            <v>833</v>
          </cell>
          <cell r="CA32">
            <v>157</v>
          </cell>
          <cell r="CB32">
            <v>28</v>
          </cell>
          <cell r="CC32">
            <v>21</v>
          </cell>
          <cell r="CD32">
            <v>18</v>
          </cell>
          <cell r="CE32">
            <v>187</v>
          </cell>
          <cell r="CF32">
            <v>553</v>
          </cell>
          <cell r="CG32">
            <v>81</v>
          </cell>
        </row>
        <row r="33">
          <cell r="A33" t="str">
            <v>No transmission transformers</v>
          </cell>
          <cell r="B33" t="str">
            <v>NTRST</v>
          </cell>
          <cell r="C33">
            <v>2008</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v>
          </cell>
          <cell r="AM33">
            <v>2</v>
          </cell>
          <cell r="AN33">
            <v>244</v>
          </cell>
          <cell r="AO33">
            <v>21</v>
          </cell>
          <cell r="AP33">
            <v>0</v>
          </cell>
          <cell r="AQ33">
            <v>3</v>
          </cell>
          <cell r="AR33">
            <v>0</v>
          </cell>
          <cell r="AS33">
            <v>16</v>
          </cell>
          <cell r="AT33">
            <v>0</v>
          </cell>
          <cell r="AU33">
            <v>0</v>
          </cell>
          <cell r="AV33">
            <v>0</v>
          </cell>
          <cell r="AW33">
            <v>0</v>
          </cell>
          <cell r="AX33">
            <v>0</v>
          </cell>
          <cell r="AY33">
            <v>0</v>
          </cell>
          <cell r="AZ33">
            <v>0</v>
          </cell>
          <cell r="BA33">
            <v>0</v>
          </cell>
          <cell r="BB33">
            <v>14</v>
          </cell>
          <cell r="BC33">
            <v>3</v>
          </cell>
          <cell r="BD33">
            <v>1</v>
          </cell>
          <cell r="BE33">
            <v>0</v>
          </cell>
          <cell r="BF33">
            <v>0</v>
          </cell>
          <cell r="BG33">
            <v>0</v>
          </cell>
          <cell r="BH33">
            <v>0</v>
          </cell>
          <cell r="BI33">
            <v>0</v>
          </cell>
          <cell r="BJ33">
            <v>0</v>
          </cell>
          <cell r="BK33">
            <v>0</v>
          </cell>
          <cell r="BL33">
            <v>8</v>
          </cell>
          <cell r="BM33">
            <v>0</v>
          </cell>
          <cell r="BN33">
            <v>0</v>
          </cell>
          <cell r="BO33">
            <v>0</v>
          </cell>
          <cell r="BP33">
            <v>10</v>
          </cell>
          <cell r="BQ33">
            <v>0</v>
          </cell>
          <cell r="BR33">
            <v>0</v>
          </cell>
          <cell r="BS33">
            <v>0</v>
          </cell>
          <cell r="BT33">
            <v>0</v>
          </cell>
          <cell r="BU33">
            <v>0</v>
          </cell>
          <cell r="BV33">
            <v>0</v>
          </cell>
          <cell r="BW33">
            <v>0</v>
          </cell>
          <cell r="BX33">
            <v>0</v>
          </cell>
          <cell r="BY33">
            <v>0</v>
          </cell>
          <cell r="BZ33">
            <v>8</v>
          </cell>
          <cell r="CA33">
            <v>0</v>
          </cell>
          <cell r="CB33">
            <v>0</v>
          </cell>
          <cell r="CC33">
            <v>0</v>
          </cell>
          <cell r="CD33">
            <v>0</v>
          </cell>
          <cell r="CE33">
            <v>0</v>
          </cell>
          <cell r="CF33">
            <v>0</v>
          </cell>
          <cell r="CG33">
            <v>0</v>
          </cell>
        </row>
        <row r="34">
          <cell r="A34" t="str">
            <v>No subtransmission transformer</v>
          </cell>
          <cell r="B34" t="str">
            <v>NTRFST</v>
          </cell>
          <cell r="C34">
            <v>2008</v>
          </cell>
          <cell r="D34">
            <v>4</v>
          </cell>
          <cell r="E34">
            <v>40</v>
          </cell>
          <cell r="F34">
            <v>20</v>
          </cell>
          <cell r="G34">
            <v>2</v>
          </cell>
          <cell r="H34">
            <v>0</v>
          </cell>
          <cell r="I34">
            <v>44</v>
          </cell>
          <cell r="J34">
            <v>12</v>
          </cell>
          <cell r="K34">
            <v>3</v>
          </cell>
          <cell r="L34">
            <v>8</v>
          </cell>
          <cell r="M34">
            <v>6</v>
          </cell>
          <cell r="N34">
            <v>0</v>
          </cell>
          <cell r="O34">
            <v>0</v>
          </cell>
          <cell r="P34">
            <v>0</v>
          </cell>
          <cell r="Q34">
            <v>1</v>
          </cell>
          <cell r="R34">
            <v>0</v>
          </cell>
          <cell r="S34">
            <v>0</v>
          </cell>
          <cell r="T34">
            <v>15</v>
          </cell>
          <cell r="U34">
            <v>9</v>
          </cell>
          <cell r="V34">
            <v>123</v>
          </cell>
          <cell r="W34">
            <v>10</v>
          </cell>
          <cell r="X34">
            <v>0</v>
          </cell>
          <cell r="Y34">
            <v>5</v>
          </cell>
          <cell r="Z34">
            <v>6</v>
          </cell>
          <cell r="AA34">
            <v>0</v>
          </cell>
          <cell r="AB34">
            <v>0</v>
          </cell>
          <cell r="AC34">
            <v>30</v>
          </cell>
          <cell r="AD34">
            <v>34</v>
          </cell>
          <cell r="AE34">
            <v>0</v>
          </cell>
          <cell r="AF34">
            <v>1</v>
          </cell>
          <cell r="AG34">
            <v>8</v>
          </cell>
          <cell r="AH34">
            <v>63</v>
          </cell>
          <cell r="AI34">
            <v>0</v>
          </cell>
          <cell r="AJ34">
            <v>71</v>
          </cell>
          <cell r="AK34">
            <v>0</v>
          </cell>
          <cell r="AL34">
            <v>3</v>
          </cell>
          <cell r="AM34">
            <v>18</v>
          </cell>
          <cell r="AN34">
            <v>1460</v>
          </cell>
          <cell r="AO34">
            <v>141</v>
          </cell>
          <cell r="AP34">
            <v>16</v>
          </cell>
          <cell r="AQ34">
            <v>0</v>
          </cell>
          <cell r="AR34">
            <v>34</v>
          </cell>
          <cell r="AS34">
            <v>7</v>
          </cell>
          <cell r="AT34">
            <v>8</v>
          </cell>
          <cell r="AU34">
            <v>7</v>
          </cell>
          <cell r="AV34">
            <v>49</v>
          </cell>
          <cell r="AW34">
            <v>0</v>
          </cell>
          <cell r="AX34">
            <v>6</v>
          </cell>
          <cell r="AY34">
            <v>0</v>
          </cell>
          <cell r="AZ34">
            <v>0</v>
          </cell>
          <cell r="BA34">
            <v>16</v>
          </cell>
          <cell r="BB34">
            <v>0</v>
          </cell>
          <cell r="BC34">
            <v>32</v>
          </cell>
          <cell r="BD34">
            <v>12</v>
          </cell>
          <cell r="BE34">
            <v>21</v>
          </cell>
          <cell r="BF34">
            <v>0</v>
          </cell>
          <cell r="BG34">
            <v>38</v>
          </cell>
          <cell r="BH34">
            <v>0</v>
          </cell>
          <cell r="BI34">
            <v>0</v>
          </cell>
          <cell r="BJ34">
            <v>16</v>
          </cell>
          <cell r="BK34">
            <v>14</v>
          </cell>
          <cell r="BL34">
            <v>33</v>
          </cell>
          <cell r="BM34">
            <v>5</v>
          </cell>
          <cell r="BN34">
            <v>37</v>
          </cell>
          <cell r="BO34">
            <v>8</v>
          </cell>
          <cell r="BP34">
            <v>15</v>
          </cell>
          <cell r="BQ34">
            <v>5</v>
          </cell>
          <cell r="BR34">
            <v>9</v>
          </cell>
          <cell r="BS34">
            <v>0</v>
          </cell>
          <cell r="BT34">
            <v>0</v>
          </cell>
          <cell r="BU34">
            <v>36</v>
          </cell>
          <cell r="BV34">
            <v>3</v>
          </cell>
          <cell r="BW34">
            <v>0</v>
          </cell>
          <cell r="BX34">
            <v>66</v>
          </cell>
          <cell r="BY34">
            <v>4</v>
          </cell>
          <cell r="BZ34">
            <v>27</v>
          </cell>
          <cell r="CA34">
            <v>524</v>
          </cell>
          <cell r="CB34">
            <v>6</v>
          </cell>
          <cell r="CC34">
            <v>4</v>
          </cell>
          <cell r="CD34">
            <v>1</v>
          </cell>
          <cell r="CE34">
            <v>27</v>
          </cell>
          <cell r="CF34">
            <v>22</v>
          </cell>
          <cell r="CG34">
            <v>0</v>
          </cell>
        </row>
        <row r="35">
          <cell r="A35" t="str">
            <v>No distribution transformers</v>
          </cell>
          <cell r="B35" t="str">
            <v>NTRFD</v>
          </cell>
          <cell r="C35">
            <v>2008</v>
          </cell>
          <cell r="D35">
            <v>324</v>
          </cell>
          <cell r="E35">
            <v>9059</v>
          </cell>
          <cell r="F35">
            <v>5241</v>
          </cell>
          <cell r="G35">
            <v>3041</v>
          </cell>
          <cell r="H35">
            <v>3514</v>
          </cell>
          <cell r="I35">
            <v>9009</v>
          </cell>
          <cell r="J35">
            <v>2088</v>
          </cell>
          <cell r="K35">
            <v>6952</v>
          </cell>
          <cell r="L35">
            <v>2338</v>
          </cell>
          <cell r="M35">
            <v>836</v>
          </cell>
          <cell r="N35">
            <v>1</v>
          </cell>
          <cell r="O35">
            <v>3470</v>
          </cell>
          <cell r="P35">
            <v>0</v>
          </cell>
          <cell r="Q35">
            <v>288</v>
          </cell>
          <cell r="R35">
            <v>0</v>
          </cell>
          <cell r="S35">
            <v>1539</v>
          </cell>
          <cell r="T35">
            <v>8278</v>
          </cell>
          <cell r="U35">
            <v>785</v>
          </cell>
          <cell r="V35">
            <v>25426</v>
          </cell>
          <cell r="W35">
            <v>1563</v>
          </cell>
          <cell r="X35">
            <v>727</v>
          </cell>
          <cell r="Y35">
            <v>3064</v>
          </cell>
          <cell r="Z35">
            <v>2418</v>
          </cell>
          <cell r="AA35">
            <v>792</v>
          </cell>
          <cell r="AB35">
            <v>75</v>
          </cell>
          <cell r="AC35">
            <v>4728</v>
          </cell>
          <cell r="AD35">
            <v>5496</v>
          </cell>
          <cell r="AE35">
            <v>1464</v>
          </cell>
          <cell r="AF35">
            <v>5759</v>
          </cell>
          <cell r="AG35">
            <v>7238</v>
          </cell>
          <cell r="AH35">
            <v>3676</v>
          </cell>
          <cell r="AI35">
            <v>60</v>
          </cell>
          <cell r="AJ35">
            <v>25248</v>
          </cell>
          <cell r="AK35">
            <v>180</v>
          </cell>
          <cell r="AL35">
            <v>741</v>
          </cell>
          <cell r="AM35">
            <v>15125</v>
          </cell>
          <cell r="AN35">
            <v>542376</v>
          </cell>
          <cell r="AO35">
            <v>39934</v>
          </cell>
          <cell r="AP35">
            <v>3193</v>
          </cell>
          <cell r="AQ35">
            <v>688</v>
          </cell>
          <cell r="AR35">
            <v>2004</v>
          </cell>
          <cell r="AS35">
            <v>10148</v>
          </cell>
          <cell r="AT35">
            <v>980</v>
          </cell>
          <cell r="AU35">
            <v>1965</v>
          </cell>
          <cell r="AV35">
            <v>15077</v>
          </cell>
          <cell r="AW35">
            <v>1162</v>
          </cell>
          <cell r="AX35">
            <v>1235</v>
          </cell>
          <cell r="AY35">
            <v>4708</v>
          </cell>
          <cell r="AZ35">
            <v>0</v>
          </cell>
          <cell r="BA35">
            <v>4009</v>
          </cell>
          <cell r="BB35">
            <v>9108</v>
          </cell>
          <cell r="BC35">
            <v>1745</v>
          </cell>
          <cell r="BD35">
            <v>4445</v>
          </cell>
          <cell r="BE35">
            <v>3961</v>
          </cell>
          <cell r="BF35">
            <v>0</v>
          </cell>
          <cell r="BG35">
            <v>8217</v>
          </cell>
          <cell r="BH35">
            <v>1293</v>
          </cell>
          <cell r="BI35">
            <v>1758</v>
          </cell>
          <cell r="BJ35">
            <v>6387</v>
          </cell>
          <cell r="BK35">
            <v>1592</v>
          </cell>
          <cell r="BL35">
            <v>5998</v>
          </cell>
          <cell r="BM35">
            <v>687</v>
          </cell>
          <cell r="BN35">
            <v>3752</v>
          </cell>
          <cell r="BO35">
            <v>2047</v>
          </cell>
          <cell r="BP35">
            <v>34300</v>
          </cell>
          <cell r="BQ35">
            <v>645</v>
          </cell>
          <cell r="BR35">
            <v>970</v>
          </cell>
          <cell r="BS35">
            <v>831</v>
          </cell>
          <cell r="BT35">
            <v>1377</v>
          </cell>
          <cell r="BU35">
            <v>7003</v>
          </cell>
          <cell r="BV35">
            <v>850</v>
          </cell>
          <cell r="BW35">
            <v>60871</v>
          </cell>
          <cell r="BX35">
            <v>16107</v>
          </cell>
          <cell r="BY35">
            <v>1446</v>
          </cell>
          <cell r="BZ35">
            <v>7508</v>
          </cell>
          <cell r="CA35">
            <v>1961</v>
          </cell>
          <cell r="CB35">
            <v>676</v>
          </cell>
          <cell r="CC35">
            <v>433</v>
          </cell>
          <cell r="CD35">
            <v>240</v>
          </cell>
          <cell r="CE35">
            <v>2839</v>
          </cell>
          <cell r="CF35">
            <v>5234</v>
          </cell>
          <cell r="CG35">
            <v>1608</v>
          </cell>
        </row>
        <row r="36">
          <cell r="A36" t="str">
            <v>Utility average load factor</v>
          </cell>
          <cell r="B36" t="str">
            <v>LF</v>
          </cell>
          <cell r="C36">
            <v>2008</v>
          </cell>
          <cell r="D36">
            <v>74</v>
          </cell>
          <cell r="E36">
            <v>67</v>
          </cell>
          <cell r="F36">
            <v>88</v>
          </cell>
          <cell r="G36">
            <v>65</v>
          </cell>
          <cell r="H36">
            <v>74</v>
          </cell>
          <cell r="I36">
            <v>71</v>
          </cell>
          <cell r="J36">
            <v>77</v>
          </cell>
          <cell r="K36">
            <v>72</v>
          </cell>
          <cell r="L36">
            <v>73</v>
          </cell>
          <cell r="M36">
            <v>71</v>
          </cell>
          <cell r="N36">
            <v>76</v>
          </cell>
          <cell r="O36">
            <v>73</v>
          </cell>
          <cell r="P36">
            <v>0</v>
          </cell>
          <cell r="Q36">
            <v>66</v>
          </cell>
          <cell r="R36">
            <v>0</v>
          </cell>
          <cell r="S36">
            <v>0</v>
          </cell>
          <cell r="T36">
            <v>59</v>
          </cell>
          <cell r="U36">
            <v>68</v>
          </cell>
          <cell r="V36">
            <v>74</v>
          </cell>
          <cell r="W36">
            <v>71</v>
          </cell>
          <cell r="X36">
            <v>73</v>
          </cell>
          <cell r="Y36">
            <v>75</v>
          </cell>
          <cell r="Z36">
            <v>89</v>
          </cell>
          <cell r="AA36">
            <v>71</v>
          </cell>
          <cell r="AB36">
            <v>66</v>
          </cell>
          <cell r="AC36">
            <v>76</v>
          </cell>
          <cell r="AD36">
            <v>76</v>
          </cell>
          <cell r="AE36">
            <v>75</v>
          </cell>
          <cell r="AF36">
            <v>74</v>
          </cell>
          <cell r="AG36">
            <v>57</v>
          </cell>
          <cell r="AH36">
            <v>83</v>
          </cell>
          <cell r="AI36">
            <v>65</v>
          </cell>
          <cell r="AJ36">
            <v>76</v>
          </cell>
          <cell r="AK36">
            <v>70</v>
          </cell>
          <cell r="AL36">
            <v>71</v>
          </cell>
          <cell r="AM36">
            <v>73</v>
          </cell>
          <cell r="AN36">
            <v>81</v>
          </cell>
          <cell r="AO36">
            <v>77</v>
          </cell>
          <cell r="AP36">
            <v>57</v>
          </cell>
          <cell r="AQ36">
            <v>68</v>
          </cell>
          <cell r="AR36">
            <v>87</v>
          </cell>
          <cell r="AS36">
            <v>72</v>
          </cell>
          <cell r="AT36">
            <v>75</v>
          </cell>
          <cell r="AU36">
            <v>71</v>
          </cell>
          <cell r="AV36">
            <v>72</v>
          </cell>
          <cell r="AW36">
            <v>72</v>
          </cell>
          <cell r="AX36">
            <v>72</v>
          </cell>
          <cell r="AY36">
            <v>73</v>
          </cell>
          <cell r="AZ36">
            <v>0</v>
          </cell>
          <cell r="BA36">
            <v>70</v>
          </cell>
          <cell r="BB36">
            <v>0</v>
          </cell>
          <cell r="BC36">
            <v>71</v>
          </cell>
          <cell r="BD36">
            <v>71</v>
          </cell>
          <cell r="BE36">
            <v>75</v>
          </cell>
          <cell r="BF36">
            <v>72</v>
          </cell>
          <cell r="BG36">
            <v>69</v>
          </cell>
          <cell r="BH36">
            <v>73</v>
          </cell>
          <cell r="BI36">
            <v>77</v>
          </cell>
          <cell r="BJ36">
            <v>64</v>
          </cell>
          <cell r="BK36">
            <v>79</v>
          </cell>
          <cell r="BL36">
            <v>75</v>
          </cell>
          <cell r="BM36">
            <v>69978</v>
          </cell>
          <cell r="BN36">
            <v>73</v>
          </cell>
          <cell r="BO36">
            <v>67</v>
          </cell>
          <cell r="BP36">
            <v>70</v>
          </cell>
          <cell r="BQ36">
            <v>72</v>
          </cell>
          <cell r="BR36">
            <v>0</v>
          </cell>
          <cell r="BS36">
            <v>8</v>
          </cell>
          <cell r="BT36">
            <v>60</v>
          </cell>
          <cell r="BU36">
            <v>76</v>
          </cell>
          <cell r="BV36">
            <v>63</v>
          </cell>
          <cell r="BW36">
            <v>76</v>
          </cell>
          <cell r="BX36">
            <v>74</v>
          </cell>
          <cell r="BY36">
            <v>0</v>
          </cell>
          <cell r="BZ36">
            <v>72</v>
          </cell>
          <cell r="CA36">
            <v>699000</v>
          </cell>
          <cell r="CB36">
            <v>87</v>
          </cell>
          <cell r="CC36">
            <v>75</v>
          </cell>
          <cell r="CD36">
            <v>69</v>
          </cell>
          <cell r="CE36">
            <v>70</v>
          </cell>
          <cell r="CF36">
            <v>71</v>
          </cell>
          <cell r="CG36">
            <v>73</v>
          </cell>
        </row>
      </sheetData>
      <sheetData sheetId="9" refreshError="1">
        <row r="1">
          <cell r="A1" t="str">
            <v>Distributor Data for Year ended Dec 31st, 2009</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Plant Additions</v>
          </cell>
          <cell r="B6" t="str">
            <v>PADD</v>
          </cell>
          <cell r="C6">
            <v>2009</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2009</v>
          </cell>
          <cell r="D7">
            <v>8573686.379999999</v>
          </cell>
          <cell r="E7">
            <v>865062.42</v>
          </cell>
          <cell r="F7">
            <v>9822988</v>
          </cell>
          <cell r="G7">
            <v>4169574</v>
          </cell>
          <cell r="H7">
            <v>7448485.8500000006</v>
          </cell>
          <cell r="I7">
            <v>12936278.32</v>
          </cell>
          <cell r="J7">
            <v>9648851</v>
          </cell>
          <cell r="K7">
            <v>4639201.5999999996</v>
          </cell>
          <cell r="L7">
            <v>1675445.8699999999</v>
          </cell>
          <cell r="M7">
            <v>483671.37</v>
          </cell>
          <cell r="N7">
            <v>5369670.3700000001</v>
          </cell>
          <cell r="O7">
            <v>587931.16</v>
          </cell>
          <cell r="P7">
            <v>3832696.84</v>
          </cell>
          <cell r="Q7">
            <v>409001.89000000007</v>
          </cell>
          <cell r="R7">
            <v>2250714.77</v>
          </cell>
          <cell r="S7">
            <v>47890746</v>
          </cell>
          <cell r="T7">
            <v>19417835.399999999</v>
          </cell>
          <cell r="U7">
            <v>4306817.08</v>
          </cell>
          <cell r="V7">
            <v>1094953.1300000001</v>
          </cell>
          <cell r="W7">
            <v>5016386.2699999996</v>
          </cell>
          <cell r="X7">
            <v>3586186</v>
          </cell>
          <cell r="Y7">
            <v>1310033.75</v>
          </cell>
          <cell r="Z7">
            <v>11143531.409999998</v>
          </cell>
          <cell r="AA7">
            <v>1744090.7000000002</v>
          </cell>
          <cell r="AB7">
            <v>9222877.8499999996</v>
          </cell>
          <cell r="AC7">
            <v>6832035.2600000007</v>
          </cell>
          <cell r="AD7">
            <v>4353194</v>
          </cell>
          <cell r="AE7">
            <v>833662.94000000006</v>
          </cell>
          <cell r="AF7">
            <v>38690882.360000007</v>
          </cell>
          <cell r="AG7">
            <v>261779.44999999998</v>
          </cell>
          <cell r="AH7">
            <v>774132.09</v>
          </cell>
          <cell r="AI7">
            <v>16617613</v>
          </cell>
          <cell r="AJ7">
            <v>485626331.73999995</v>
          </cell>
          <cell r="AK7">
            <v>50330790.689999998</v>
          </cell>
          <cell r="AL7">
            <v>3632923.9299999997</v>
          </cell>
          <cell r="AM7">
            <v>1760368.6199999999</v>
          </cell>
          <cell r="AN7">
            <v>5311350</v>
          </cell>
          <cell r="AO7">
            <v>12330019.859999999</v>
          </cell>
          <cell r="AP7">
            <v>1863847.04</v>
          </cell>
          <cell r="AQ7">
            <v>2904443.74</v>
          </cell>
          <cell r="AR7">
            <v>26532275.159999996</v>
          </cell>
          <cell r="AS7">
            <v>1634702.4699999997</v>
          </cell>
          <cell r="AT7">
            <v>1708574.8</v>
          </cell>
          <cell r="AU7">
            <v>5286434.95</v>
          </cell>
          <cell r="AV7">
            <v>6377763.4799999995</v>
          </cell>
          <cell r="AW7">
            <v>12617618.790000001</v>
          </cell>
          <cell r="AX7">
            <v>1808520.6800000002</v>
          </cell>
          <cell r="AY7">
            <v>4332649.28</v>
          </cell>
          <cell r="AZ7">
            <v>4616463.49</v>
          </cell>
          <cell r="BA7">
            <v>1984070.12</v>
          </cell>
          <cell r="BB7">
            <v>10168114.280000001</v>
          </cell>
          <cell r="BC7">
            <v>2354774.4200000004</v>
          </cell>
          <cell r="BD7">
            <v>3831334.23</v>
          </cell>
          <cell r="BE7">
            <v>8399845.8200000003</v>
          </cell>
          <cell r="BF7">
            <v>2364575.9000000004</v>
          </cell>
          <cell r="BG7">
            <v>1210059.1100000001</v>
          </cell>
          <cell r="BH7">
            <v>6329469.4500000002</v>
          </cell>
          <cell r="BI7">
            <v>3387196.17</v>
          </cell>
          <cell r="BJ7">
            <v>55129046</v>
          </cell>
          <cell r="BK7">
            <v>7756509.3600000013</v>
          </cell>
          <cell r="BL7">
            <v>1008660.1900000001</v>
          </cell>
          <cell r="BM7">
            <v>1555712.19</v>
          </cell>
          <cell r="BN7">
            <v>1102924.6599999999</v>
          </cell>
          <cell r="BO7">
            <v>3152055.5900000003</v>
          </cell>
          <cell r="BP7">
            <v>11703465.470000001</v>
          </cell>
          <cell r="BQ7">
            <v>1846785.04</v>
          </cell>
          <cell r="BR7">
            <v>171193582.38000003</v>
          </cell>
          <cell r="BS7">
            <v>18832922</v>
          </cell>
          <cell r="BT7">
            <v>1980210.5500000003</v>
          </cell>
          <cell r="BU7">
            <v>8582506</v>
          </cell>
          <cell r="BV7">
            <v>4808050</v>
          </cell>
          <cell r="BW7">
            <v>1139669.9100000001</v>
          </cell>
          <cell r="BX7">
            <v>1434994</v>
          </cell>
          <cell r="BY7">
            <v>716315.33000000007</v>
          </cell>
          <cell r="BZ7">
            <v>4230081.6399999997</v>
          </cell>
          <cell r="CA7">
            <v>8192476.2000000002</v>
          </cell>
          <cell r="CB7">
            <v>3291799.4800000004</v>
          </cell>
          <cell r="CC7">
            <v>0</v>
          </cell>
        </row>
        <row r="8">
          <cell r="A8" t="str">
            <v>Income Taxes</v>
          </cell>
          <cell r="B8" t="str">
            <v>CTAXINC</v>
          </cell>
          <cell r="C8">
            <v>2009</v>
          </cell>
          <cell r="D8">
            <v>1033536.12</v>
          </cell>
          <cell r="E8">
            <v>0</v>
          </cell>
          <cell r="F8">
            <v>1293000</v>
          </cell>
          <cell r="G8">
            <v>342923</v>
          </cell>
          <cell r="H8">
            <v>887911</v>
          </cell>
          <cell r="I8">
            <v>1104962.53</v>
          </cell>
          <cell r="J8">
            <v>1146529</v>
          </cell>
          <cell r="K8">
            <v>442170.02</v>
          </cell>
          <cell r="L8">
            <v>-715.66</v>
          </cell>
          <cell r="M8">
            <v>0</v>
          </cell>
          <cell r="N8">
            <v>1010703.8</v>
          </cell>
          <cell r="O8">
            <v>0</v>
          </cell>
          <cell r="P8">
            <v>67969</v>
          </cell>
          <cell r="Q8">
            <v>5012</v>
          </cell>
          <cell r="R8">
            <v>562106</v>
          </cell>
          <cell r="S8">
            <v>6250773</v>
          </cell>
          <cell r="T8">
            <v>6012482</v>
          </cell>
          <cell r="U8">
            <v>91999.69</v>
          </cell>
          <cell r="V8">
            <v>0</v>
          </cell>
          <cell r="W8">
            <v>582521</v>
          </cell>
          <cell r="X8">
            <v>988000</v>
          </cell>
          <cell r="Y8">
            <v>-466</v>
          </cell>
          <cell r="Z8">
            <v>391898</v>
          </cell>
          <cell r="AA8">
            <v>130497.96</v>
          </cell>
          <cell r="AB8">
            <v>3329003</v>
          </cell>
          <cell r="AC8">
            <v>1399934</v>
          </cell>
          <cell r="AD8">
            <v>1082698</v>
          </cell>
          <cell r="AE8">
            <v>-59512</v>
          </cell>
          <cell r="AF8">
            <v>5502940.3499999996</v>
          </cell>
          <cell r="AG8">
            <v>2811</v>
          </cell>
          <cell r="AH8">
            <v>29833</v>
          </cell>
          <cell r="AI8">
            <v>8116817</v>
          </cell>
          <cell r="AJ8">
            <v>28213469.780000001</v>
          </cell>
          <cell r="AK8">
            <v>12376712</v>
          </cell>
          <cell r="AL8">
            <v>481503</v>
          </cell>
          <cell r="AM8">
            <v>5262</v>
          </cell>
          <cell r="AN8">
            <v>949352</v>
          </cell>
          <cell r="AO8">
            <v>2964835</v>
          </cell>
          <cell r="AP8">
            <v>345241</v>
          </cell>
          <cell r="AQ8">
            <v>390129</v>
          </cell>
          <cell r="AR8">
            <v>3305332.08</v>
          </cell>
          <cell r="AS8">
            <v>126627.86</v>
          </cell>
          <cell r="AT8">
            <v>68872.91</v>
          </cell>
          <cell r="AU8">
            <v>970323</v>
          </cell>
          <cell r="AV8">
            <v>1778792.12</v>
          </cell>
          <cell r="AW8">
            <v>1656184.17</v>
          </cell>
          <cell r="AX8">
            <v>325967</v>
          </cell>
          <cell r="AY8">
            <v>912000</v>
          </cell>
          <cell r="AZ8">
            <v>81634.11</v>
          </cell>
          <cell r="BA8">
            <v>25819</v>
          </cell>
          <cell r="BB8">
            <v>2489258</v>
          </cell>
          <cell r="BC8">
            <v>370750.1</v>
          </cell>
          <cell r="BD8">
            <v>293783</v>
          </cell>
          <cell r="BE8">
            <v>1923557</v>
          </cell>
          <cell r="BF8">
            <v>72916</v>
          </cell>
          <cell r="BG8">
            <v>11762</v>
          </cell>
          <cell r="BH8">
            <v>1060000</v>
          </cell>
          <cell r="BI8">
            <v>40757.25</v>
          </cell>
          <cell r="BJ8">
            <v>8561170</v>
          </cell>
          <cell r="BK8">
            <v>971999.96</v>
          </cell>
          <cell r="BL8">
            <v>21172</v>
          </cell>
          <cell r="BM8">
            <v>28706</v>
          </cell>
          <cell r="BN8">
            <v>35709.410000000003</v>
          </cell>
          <cell r="BO8">
            <v>509687</v>
          </cell>
          <cell r="BP8">
            <v>-3091000</v>
          </cell>
          <cell r="BQ8">
            <v>21641</v>
          </cell>
          <cell r="BR8">
            <v>21242454</v>
          </cell>
          <cell r="BS8">
            <v>4258155</v>
          </cell>
          <cell r="BT8">
            <v>396882.86</v>
          </cell>
          <cell r="BU8">
            <v>2013033</v>
          </cell>
          <cell r="BV8">
            <v>288430</v>
          </cell>
          <cell r="BW8">
            <v>43082.25</v>
          </cell>
          <cell r="BX8">
            <v>47781</v>
          </cell>
          <cell r="BY8">
            <v>0</v>
          </cell>
          <cell r="BZ8">
            <v>723571</v>
          </cell>
          <cell r="CA8">
            <v>1601769</v>
          </cell>
          <cell r="CB8">
            <v>412679.36</v>
          </cell>
          <cell r="CC8">
            <v>0</v>
          </cell>
        </row>
        <row r="9">
          <cell r="A9" t="str">
            <v>Customers</v>
          </cell>
          <cell r="B9" t="str">
            <v>YN</v>
          </cell>
          <cell r="C9">
            <v>2009</v>
          </cell>
          <cell r="D9">
            <v>11688</v>
          </cell>
          <cell r="E9">
            <v>1670</v>
          </cell>
          <cell r="F9">
            <v>35580</v>
          </cell>
          <cell r="G9">
            <v>9614</v>
          </cell>
          <cell r="H9">
            <v>37668</v>
          </cell>
          <cell r="I9">
            <v>63558</v>
          </cell>
          <cell r="J9">
            <v>50201</v>
          </cell>
          <cell r="K9">
            <v>15607</v>
          </cell>
          <cell r="L9">
            <v>6382</v>
          </cell>
          <cell r="M9">
            <v>1326</v>
          </cell>
          <cell r="N9">
            <v>32168</v>
          </cell>
          <cell r="O9">
            <v>1660</v>
          </cell>
          <cell r="P9">
            <v>14908</v>
          </cell>
          <cell r="Q9">
            <v>1941</v>
          </cell>
          <cell r="R9">
            <v>11112</v>
          </cell>
          <cell r="S9">
            <v>189738</v>
          </cell>
          <cell r="T9">
            <v>84726</v>
          </cell>
          <cell r="U9">
            <v>14040</v>
          </cell>
          <cell r="V9">
            <v>3383</v>
          </cell>
          <cell r="W9">
            <v>28202</v>
          </cell>
          <cell r="X9">
            <v>19531</v>
          </cell>
          <cell r="Y9">
            <v>3768</v>
          </cell>
          <cell r="Z9">
            <v>46539</v>
          </cell>
          <cell r="AA9">
            <v>10073</v>
          </cell>
          <cell r="AB9">
            <v>49299</v>
          </cell>
          <cell r="AC9">
            <v>20911</v>
          </cell>
          <cell r="AD9">
            <v>21184</v>
          </cell>
          <cell r="AE9">
            <v>2764</v>
          </cell>
          <cell r="AF9">
            <v>234666</v>
          </cell>
          <cell r="AG9">
            <v>1184</v>
          </cell>
          <cell r="AH9">
            <v>5453</v>
          </cell>
          <cell r="AI9">
            <v>131027</v>
          </cell>
          <cell r="AJ9">
            <v>1193767</v>
          </cell>
          <cell r="AK9">
            <v>298855</v>
          </cell>
          <cell r="AL9">
            <v>14645</v>
          </cell>
          <cell r="AM9">
            <v>5579</v>
          </cell>
          <cell r="AN9">
            <v>26991</v>
          </cell>
          <cell r="AO9">
            <v>85998</v>
          </cell>
          <cell r="AP9">
            <v>9534</v>
          </cell>
          <cell r="AQ9">
            <v>9387</v>
          </cell>
          <cell r="AR9">
            <v>146787</v>
          </cell>
          <cell r="AS9">
            <v>7911</v>
          </cell>
          <cell r="AT9">
            <v>6905</v>
          </cell>
          <cell r="AU9">
            <v>27506</v>
          </cell>
          <cell r="AV9">
            <v>32827</v>
          </cell>
          <cell r="AW9">
            <v>50823</v>
          </cell>
          <cell r="AX9">
            <v>7880</v>
          </cell>
          <cell r="AY9">
            <v>18895</v>
          </cell>
          <cell r="AZ9">
            <v>23776</v>
          </cell>
          <cell r="BA9">
            <v>6069</v>
          </cell>
          <cell r="BB9">
            <v>62858</v>
          </cell>
          <cell r="BC9">
            <v>11126</v>
          </cell>
          <cell r="BD9">
            <v>12962</v>
          </cell>
          <cell r="BE9">
            <v>52488</v>
          </cell>
          <cell r="BF9">
            <v>10462</v>
          </cell>
          <cell r="BG9">
            <v>3378</v>
          </cell>
          <cell r="BH9">
            <v>35037</v>
          </cell>
          <cell r="BI9">
            <v>9124</v>
          </cell>
          <cell r="BJ9">
            <v>320695</v>
          </cell>
          <cell r="BK9">
            <v>32825</v>
          </cell>
          <cell r="BL9">
            <v>4180</v>
          </cell>
          <cell r="BM9">
            <v>5863</v>
          </cell>
          <cell r="BN9">
            <v>2740</v>
          </cell>
          <cell r="BO9">
            <v>16243</v>
          </cell>
          <cell r="BP9">
            <v>49922</v>
          </cell>
          <cell r="BQ9">
            <v>6738</v>
          </cell>
          <cell r="BR9">
            <v>690243</v>
          </cell>
          <cell r="BS9">
            <v>111994</v>
          </cell>
          <cell r="BT9">
            <v>11869</v>
          </cell>
          <cell r="BU9">
            <v>51089</v>
          </cell>
          <cell r="BV9">
            <v>21916</v>
          </cell>
          <cell r="BW9">
            <v>3588</v>
          </cell>
          <cell r="BX9">
            <v>3763</v>
          </cell>
          <cell r="BY9">
            <v>2052</v>
          </cell>
          <cell r="BZ9">
            <v>21805</v>
          </cell>
          <cell r="CA9">
            <v>39513</v>
          </cell>
          <cell r="CB9">
            <v>14838</v>
          </cell>
          <cell r="CC9">
            <v>3560</v>
          </cell>
        </row>
        <row r="10">
          <cell r="A10" t="str">
            <v>Customers - Residential</v>
          </cell>
          <cell r="B10" t="str">
            <v>YNR</v>
          </cell>
          <cell r="C10">
            <v>2009</v>
          </cell>
          <cell r="D10">
            <v>10630</v>
          </cell>
          <cell r="E10">
            <v>1415</v>
          </cell>
          <cell r="F10">
            <v>31420</v>
          </cell>
          <cell r="G10">
            <v>8171</v>
          </cell>
          <cell r="H10">
            <v>34089</v>
          </cell>
          <cell r="I10">
            <v>57578</v>
          </cell>
          <cell r="J10">
            <v>44805</v>
          </cell>
          <cell r="K10">
            <v>14248</v>
          </cell>
          <cell r="L10">
            <v>5603</v>
          </cell>
          <cell r="M10">
            <v>1144</v>
          </cell>
          <cell r="N10">
            <v>28463</v>
          </cell>
          <cell r="O10">
            <v>1411</v>
          </cell>
          <cell r="P10">
            <v>13152</v>
          </cell>
          <cell r="Q10">
            <v>1757</v>
          </cell>
          <cell r="R10">
            <v>9843</v>
          </cell>
          <cell r="S10">
            <v>168288</v>
          </cell>
          <cell r="T10">
            <v>76528</v>
          </cell>
          <cell r="U10">
            <v>12550</v>
          </cell>
          <cell r="V10">
            <v>2857</v>
          </cell>
          <cell r="W10">
            <v>25817</v>
          </cell>
          <cell r="X10">
            <v>17311</v>
          </cell>
          <cell r="Y10">
            <v>3296</v>
          </cell>
          <cell r="Z10">
            <v>41926</v>
          </cell>
          <cell r="AA10">
            <v>9222</v>
          </cell>
          <cell r="AB10">
            <v>45023</v>
          </cell>
          <cell r="AC10">
            <v>18309</v>
          </cell>
          <cell r="AD10">
            <v>18924</v>
          </cell>
          <cell r="AE10">
            <v>2332</v>
          </cell>
          <cell r="AF10">
            <v>212580</v>
          </cell>
          <cell r="AG10">
            <v>1027</v>
          </cell>
          <cell r="AH10">
            <v>4781</v>
          </cell>
          <cell r="AI10">
            <v>121692</v>
          </cell>
          <cell r="AJ10">
            <v>1084186</v>
          </cell>
          <cell r="AK10">
            <v>269288</v>
          </cell>
          <cell r="AL10">
            <v>13636</v>
          </cell>
          <cell r="AM10">
            <v>4777</v>
          </cell>
          <cell r="AN10">
            <v>23223</v>
          </cell>
          <cell r="AO10">
            <v>76755</v>
          </cell>
          <cell r="AP10">
            <v>8243</v>
          </cell>
          <cell r="AQ10">
            <v>7697</v>
          </cell>
          <cell r="AR10">
            <v>131734</v>
          </cell>
          <cell r="AS10">
            <v>6984</v>
          </cell>
          <cell r="AT10">
            <v>6052</v>
          </cell>
          <cell r="AU10">
            <v>24832</v>
          </cell>
          <cell r="AV10">
            <v>29138</v>
          </cell>
          <cell r="AW10">
            <v>45167</v>
          </cell>
          <cell r="AX10">
            <v>6507</v>
          </cell>
          <cell r="AY10">
            <v>16653</v>
          </cell>
          <cell r="AZ10">
            <v>20850</v>
          </cell>
          <cell r="BA10">
            <v>5179</v>
          </cell>
          <cell r="BB10">
            <v>56419</v>
          </cell>
          <cell r="BC10">
            <v>9814</v>
          </cell>
          <cell r="BD10">
            <v>11296</v>
          </cell>
          <cell r="BE10">
            <v>47769</v>
          </cell>
          <cell r="BF10">
            <v>8851</v>
          </cell>
          <cell r="BG10">
            <v>2751</v>
          </cell>
          <cell r="BH10">
            <v>30680</v>
          </cell>
          <cell r="BI10">
            <v>8170</v>
          </cell>
          <cell r="BJ10">
            <v>283665</v>
          </cell>
          <cell r="BK10">
            <v>29028</v>
          </cell>
          <cell r="BL10">
            <v>3613</v>
          </cell>
          <cell r="BM10">
            <v>4974</v>
          </cell>
          <cell r="BN10">
            <v>2296</v>
          </cell>
          <cell r="BO10">
            <v>14374</v>
          </cell>
          <cell r="BP10">
            <v>44443</v>
          </cell>
          <cell r="BQ10">
            <v>5907</v>
          </cell>
          <cell r="BR10">
            <v>611357</v>
          </cell>
          <cell r="BS10">
            <v>101547</v>
          </cell>
          <cell r="BT10">
            <v>11010</v>
          </cell>
          <cell r="BU10">
            <v>45113</v>
          </cell>
          <cell r="BV10">
            <v>19803</v>
          </cell>
          <cell r="BW10">
            <v>3056</v>
          </cell>
          <cell r="BX10">
            <v>3231</v>
          </cell>
          <cell r="BY10">
            <v>1786</v>
          </cell>
          <cell r="BZ10">
            <v>19033</v>
          </cell>
          <cell r="CA10">
            <v>36762</v>
          </cell>
          <cell r="CB10">
            <v>13429</v>
          </cell>
          <cell r="CC10">
            <v>3104</v>
          </cell>
        </row>
        <row r="11">
          <cell r="A11" t="str">
            <v>Customers - Other</v>
          </cell>
          <cell r="B11" t="str">
            <v>YNO</v>
          </cell>
          <cell r="C11">
            <v>2009</v>
          </cell>
          <cell r="D11">
            <v>1058</v>
          </cell>
          <cell r="E11">
            <v>255</v>
          </cell>
          <cell r="F11">
            <v>4160</v>
          </cell>
          <cell r="G11">
            <v>1443</v>
          </cell>
          <cell r="H11">
            <v>3579</v>
          </cell>
          <cell r="I11">
            <v>5980</v>
          </cell>
          <cell r="J11">
            <v>5396</v>
          </cell>
          <cell r="K11">
            <v>1359</v>
          </cell>
          <cell r="L11">
            <v>779</v>
          </cell>
          <cell r="M11">
            <v>182</v>
          </cell>
          <cell r="N11">
            <v>3705</v>
          </cell>
          <cell r="O11">
            <v>249</v>
          </cell>
          <cell r="P11">
            <v>1756</v>
          </cell>
          <cell r="Q11">
            <v>184</v>
          </cell>
          <cell r="R11">
            <v>1269</v>
          </cell>
          <cell r="S11">
            <v>21450</v>
          </cell>
          <cell r="T11">
            <v>8198</v>
          </cell>
          <cell r="U11">
            <v>1490</v>
          </cell>
          <cell r="V11">
            <v>526</v>
          </cell>
          <cell r="W11">
            <v>2385</v>
          </cell>
          <cell r="X11">
            <v>2220</v>
          </cell>
          <cell r="Y11">
            <v>472</v>
          </cell>
          <cell r="Z11">
            <v>4613</v>
          </cell>
          <cell r="AA11">
            <v>851</v>
          </cell>
          <cell r="AB11">
            <v>4276</v>
          </cell>
          <cell r="AC11">
            <v>2602</v>
          </cell>
          <cell r="AD11">
            <v>2260</v>
          </cell>
          <cell r="AE11">
            <v>432</v>
          </cell>
          <cell r="AF11">
            <v>22086</v>
          </cell>
          <cell r="AG11">
            <v>157</v>
          </cell>
          <cell r="AH11">
            <v>672</v>
          </cell>
          <cell r="AI11">
            <v>9335</v>
          </cell>
          <cell r="AJ11">
            <v>109581</v>
          </cell>
          <cell r="AK11">
            <v>29567</v>
          </cell>
          <cell r="AL11">
            <v>1009</v>
          </cell>
          <cell r="AM11">
            <v>802</v>
          </cell>
          <cell r="AN11">
            <v>3768</v>
          </cell>
          <cell r="AO11">
            <v>9243</v>
          </cell>
          <cell r="AP11">
            <v>1291</v>
          </cell>
          <cell r="AQ11">
            <v>1690</v>
          </cell>
          <cell r="AR11">
            <v>15053</v>
          </cell>
          <cell r="AS11">
            <v>927</v>
          </cell>
          <cell r="AT11">
            <v>853</v>
          </cell>
          <cell r="AU11">
            <v>2674</v>
          </cell>
          <cell r="AV11">
            <v>3689</v>
          </cell>
          <cell r="AW11">
            <v>5656</v>
          </cell>
          <cell r="AX11">
            <v>1373</v>
          </cell>
          <cell r="AY11">
            <v>2242</v>
          </cell>
          <cell r="AZ11">
            <v>2926</v>
          </cell>
          <cell r="BA11">
            <v>890</v>
          </cell>
          <cell r="BB11">
            <v>6439</v>
          </cell>
          <cell r="BC11">
            <v>1312</v>
          </cell>
          <cell r="BD11">
            <v>1666</v>
          </cell>
          <cell r="BE11">
            <v>4719</v>
          </cell>
          <cell r="BF11">
            <v>1611</v>
          </cell>
          <cell r="BG11">
            <v>627</v>
          </cell>
          <cell r="BH11">
            <v>4357</v>
          </cell>
          <cell r="BI11">
            <v>954</v>
          </cell>
          <cell r="BJ11">
            <v>37030</v>
          </cell>
          <cell r="BK11">
            <v>3797</v>
          </cell>
          <cell r="BL11">
            <v>567</v>
          </cell>
          <cell r="BM11">
            <v>889</v>
          </cell>
          <cell r="BN11">
            <v>444</v>
          </cell>
          <cell r="BO11">
            <v>1869</v>
          </cell>
          <cell r="BP11">
            <v>5479</v>
          </cell>
          <cell r="BQ11">
            <v>831</v>
          </cell>
          <cell r="BR11">
            <v>78886</v>
          </cell>
          <cell r="BS11">
            <v>10447</v>
          </cell>
          <cell r="BT11">
            <v>859</v>
          </cell>
          <cell r="BU11">
            <v>5976</v>
          </cell>
          <cell r="BV11">
            <v>2113</v>
          </cell>
          <cell r="BW11">
            <v>532</v>
          </cell>
          <cell r="BX11">
            <v>532</v>
          </cell>
          <cell r="BY11">
            <v>266</v>
          </cell>
          <cell r="BZ11">
            <v>2772</v>
          </cell>
          <cell r="CA11">
            <v>2751</v>
          </cell>
          <cell r="CB11">
            <v>1409</v>
          </cell>
          <cell r="CC11">
            <v>456</v>
          </cell>
        </row>
        <row r="12">
          <cell r="A12" t="str">
            <v>kWh</v>
          </cell>
          <cell r="B12" t="str">
            <v>YV</v>
          </cell>
          <cell r="C12">
            <v>2009</v>
          </cell>
          <cell r="D12">
            <v>186826562</v>
          </cell>
          <cell r="E12">
            <v>24810879.390000004</v>
          </cell>
          <cell r="F12">
            <v>1014894015</v>
          </cell>
          <cell r="G12">
            <v>270197028</v>
          </cell>
          <cell r="H12">
            <v>954349490</v>
          </cell>
          <cell r="I12">
            <v>1654209046</v>
          </cell>
          <cell r="J12">
            <v>1418249796</v>
          </cell>
          <cell r="K12">
            <v>276124114</v>
          </cell>
          <cell r="L12">
            <v>154225799.30000001</v>
          </cell>
          <cell r="M12">
            <v>28674687</v>
          </cell>
          <cell r="N12">
            <v>697061130</v>
          </cell>
          <cell r="O12">
            <v>29094707</v>
          </cell>
          <cell r="P12">
            <v>306783697</v>
          </cell>
          <cell r="Q12">
            <v>29476112</v>
          </cell>
          <cell r="R12">
            <v>231256859</v>
          </cell>
          <cell r="S12">
            <v>7747244745</v>
          </cell>
          <cell r="T12">
            <v>2217497147</v>
          </cell>
          <cell r="U12">
            <v>390452764</v>
          </cell>
          <cell r="V12">
            <v>65264543</v>
          </cell>
          <cell r="W12">
            <v>565404881.51999998</v>
          </cell>
          <cell r="X12">
            <v>549506615</v>
          </cell>
          <cell r="Y12">
            <v>82558537</v>
          </cell>
          <cell r="Z12">
            <v>957230159.17000008</v>
          </cell>
          <cell r="AA12">
            <v>179672015.21000001</v>
          </cell>
          <cell r="AB12">
            <v>1485530568</v>
          </cell>
          <cell r="AC12">
            <v>338528028</v>
          </cell>
          <cell r="AD12">
            <v>493699000</v>
          </cell>
          <cell r="AE12">
            <v>77414752</v>
          </cell>
          <cell r="AF12">
            <v>5279120084</v>
          </cell>
          <cell r="AG12">
            <v>26230086</v>
          </cell>
          <cell r="AH12">
            <v>179636985</v>
          </cell>
          <cell r="AI12">
            <v>3724190759</v>
          </cell>
          <cell r="AJ12">
            <v>21762000000</v>
          </cell>
          <cell r="AK12">
            <v>7557357094.3999996</v>
          </cell>
          <cell r="AL12">
            <v>238660027.01999998</v>
          </cell>
          <cell r="AM12">
            <v>110828990</v>
          </cell>
          <cell r="AN12">
            <v>735126071</v>
          </cell>
          <cell r="AO12">
            <v>1837078457</v>
          </cell>
          <cell r="AP12">
            <v>260568563</v>
          </cell>
          <cell r="AQ12">
            <v>213656607</v>
          </cell>
          <cell r="AR12">
            <v>3150821439</v>
          </cell>
          <cell r="AS12">
            <v>184693861</v>
          </cell>
          <cell r="AT12">
            <v>203110374</v>
          </cell>
          <cell r="AU12">
            <v>674088801</v>
          </cell>
          <cell r="AV12">
            <v>676328678</v>
          </cell>
          <cell r="AW12">
            <v>1171202445</v>
          </cell>
          <cell r="AX12">
            <v>173481558</v>
          </cell>
          <cell r="AY12">
            <v>363134721</v>
          </cell>
          <cell r="AZ12">
            <v>552881331</v>
          </cell>
          <cell r="BA12">
            <v>123574678</v>
          </cell>
          <cell r="BB12">
            <v>1547576995</v>
          </cell>
          <cell r="BC12">
            <v>243621743</v>
          </cell>
          <cell r="BD12">
            <v>309605840</v>
          </cell>
          <cell r="BE12">
            <v>1134000394</v>
          </cell>
          <cell r="BF12">
            <v>197012949.49000001</v>
          </cell>
          <cell r="BG12">
            <v>89991083.279999986</v>
          </cell>
          <cell r="BH12">
            <v>791578450</v>
          </cell>
          <cell r="BI12">
            <v>190210936</v>
          </cell>
          <cell r="BJ12">
            <v>8292914586</v>
          </cell>
          <cell r="BK12">
            <v>707756700</v>
          </cell>
          <cell r="BL12">
            <v>96981360</v>
          </cell>
          <cell r="BM12">
            <v>110613517</v>
          </cell>
          <cell r="BN12">
            <v>72428352</v>
          </cell>
          <cell r="BO12">
            <v>289185003</v>
          </cell>
          <cell r="BP12">
            <v>982671593</v>
          </cell>
          <cell r="BQ12">
            <v>184230659</v>
          </cell>
          <cell r="BR12">
            <v>24588094032</v>
          </cell>
          <cell r="BS12">
            <v>2473069288</v>
          </cell>
          <cell r="BT12">
            <v>97280499.019999996</v>
          </cell>
          <cell r="BU12">
            <v>1360024643</v>
          </cell>
          <cell r="BV12">
            <v>402188612</v>
          </cell>
          <cell r="BW12">
            <v>87132498.900000006</v>
          </cell>
          <cell r="BX12">
            <v>155318970.66</v>
          </cell>
          <cell r="BY12">
            <v>56276750</v>
          </cell>
          <cell r="BZ12">
            <v>475053892</v>
          </cell>
          <cell r="CA12">
            <v>843306758</v>
          </cell>
          <cell r="CB12">
            <v>342064464</v>
          </cell>
          <cell r="CC12">
            <v>60765743</v>
          </cell>
        </row>
        <row r="13">
          <cell r="A13" t="str">
            <v>kWh - Residential</v>
          </cell>
          <cell r="B13" t="str">
            <v>YVR</v>
          </cell>
          <cell r="C13">
            <v>2009</v>
          </cell>
          <cell r="D13">
            <v>88878032</v>
          </cell>
          <cell r="E13">
            <v>10082213</v>
          </cell>
          <cell r="F13">
            <v>256212050</v>
          </cell>
          <cell r="G13">
            <v>78687855</v>
          </cell>
          <cell r="H13">
            <v>289270611</v>
          </cell>
          <cell r="I13">
            <v>544341574</v>
          </cell>
          <cell r="J13">
            <v>382507290</v>
          </cell>
          <cell r="K13">
            <v>111596385</v>
          </cell>
          <cell r="L13">
            <v>45838418.299999997</v>
          </cell>
          <cell r="M13">
            <v>15271942</v>
          </cell>
          <cell r="N13">
            <v>229006740</v>
          </cell>
          <cell r="O13">
            <v>11682740</v>
          </cell>
          <cell r="P13">
            <v>114248439</v>
          </cell>
          <cell r="Q13">
            <v>19949042</v>
          </cell>
          <cell r="R13">
            <v>88729098</v>
          </cell>
          <cell r="S13">
            <v>1554921855</v>
          </cell>
          <cell r="T13">
            <v>608088215</v>
          </cell>
          <cell r="U13">
            <v>112395473</v>
          </cell>
          <cell r="V13">
            <v>33443599</v>
          </cell>
          <cell r="W13">
            <v>261922933.90000001</v>
          </cell>
          <cell r="X13">
            <v>139254714</v>
          </cell>
          <cell r="Y13">
            <v>39845835</v>
          </cell>
          <cell r="Z13">
            <v>412159187.95999998</v>
          </cell>
          <cell r="AA13">
            <v>91249171.829999998</v>
          </cell>
          <cell r="AB13">
            <v>352708669</v>
          </cell>
          <cell r="AC13">
            <v>168226691</v>
          </cell>
          <cell r="AD13">
            <v>217916715</v>
          </cell>
          <cell r="AE13">
            <v>26719860</v>
          </cell>
          <cell r="AF13">
            <v>1597158130</v>
          </cell>
          <cell r="AG13">
            <v>15905549</v>
          </cell>
          <cell r="AH13">
            <v>55896455</v>
          </cell>
          <cell r="AI13">
            <v>1121010160</v>
          </cell>
          <cell r="AJ13">
            <v>11607000000</v>
          </cell>
          <cell r="AK13">
            <v>2256567858</v>
          </cell>
          <cell r="AL13">
            <v>158478924</v>
          </cell>
          <cell r="AM13">
            <v>39909017</v>
          </cell>
          <cell r="AN13">
            <v>200816087</v>
          </cell>
          <cell r="AO13">
            <v>647493718</v>
          </cell>
          <cell r="AP13">
            <v>77155275</v>
          </cell>
          <cell r="AQ13">
            <v>82722597</v>
          </cell>
          <cell r="AR13">
            <v>1067984894</v>
          </cell>
          <cell r="AS13">
            <v>59459192</v>
          </cell>
          <cell r="AT13">
            <v>47639419</v>
          </cell>
          <cell r="AU13">
            <v>230386763</v>
          </cell>
          <cell r="AV13">
            <v>261208138</v>
          </cell>
          <cell r="AW13">
            <v>396244635</v>
          </cell>
          <cell r="AX13">
            <v>63529367</v>
          </cell>
          <cell r="AY13">
            <v>139365167</v>
          </cell>
          <cell r="AZ13">
            <v>213412762</v>
          </cell>
          <cell r="BA13">
            <v>43042148</v>
          </cell>
          <cell r="BB13">
            <v>583830856</v>
          </cell>
          <cell r="BC13">
            <v>84392286</v>
          </cell>
          <cell r="BD13">
            <v>108280800</v>
          </cell>
          <cell r="BE13">
            <v>490807351</v>
          </cell>
          <cell r="BF13">
            <v>79726454.040000007</v>
          </cell>
          <cell r="BG13">
            <v>34644938.590000004</v>
          </cell>
          <cell r="BH13">
            <v>283366850</v>
          </cell>
          <cell r="BI13">
            <v>63037704</v>
          </cell>
          <cell r="BJ13">
            <v>2693171018</v>
          </cell>
          <cell r="BK13">
            <v>348619359</v>
          </cell>
          <cell r="BL13">
            <v>30635928</v>
          </cell>
          <cell r="BM13">
            <v>45271935</v>
          </cell>
          <cell r="BN13">
            <v>33747939</v>
          </cell>
          <cell r="BO13">
            <v>115181982</v>
          </cell>
          <cell r="BP13">
            <v>348392935</v>
          </cell>
          <cell r="BQ13">
            <v>51473373</v>
          </cell>
          <cell r="BR13">
            <v>5037152555</v>
          </cell>
          <cell r="BS13">
            <v>942215878</v>
          </cell>
          <cell r="BT13">
            <v>67145247.980000004</v>
          </cell>
          <cell r="BU13">
            <v>397106489</v>
          </cell>
          <cell r="BV13">
            <v>152795281</v>
          </cell>
          <cell r="BW13">
            <v>25181847.100000001</v>
          </cell>
          <cell r="BX13">
            <v>25808454</v>
          </cell>
          <cell r="BY13">
            <v>15500136</v>
          </cell>
          <cell r="BZ13">
            <v>220302768</v>
          </cell>
          <cell r="CA13">
            <v>347011249</v>
          </cell>
          <cell r="CB13">
            <v>93622824</v>
          </cell>
          <cell r="CC13">
            <v>29586436</v>
          </cell>
        </row>
        <row r="14">
          <cell r="A14" t="str">
            <v>kWh - Other</v>
          </cell>
          <cell r="B14" t="str">
            <v>YVO</v>
          </cell>
          <cell r="C14">
            <v>2009</v>
          </cell>
          <cell r="D14">
            <v>97948530</v>
          </cell>
          <cell r="E14">
            <v>14728666.390000004</v>
          </cell>
          <cell r="F14">
            <v>758681965</v>
          </cell>
          <cell r="G14">
            <v>191509173</v>
          </cell>
          <cell r="H14">
            <v>665078879</v>
          </cell>
          <cell r="I14">
            <v>1109867472</v>
          </cell>
          <cell r="J14">
            <v>1035742506</v>
          </cell>
          <cell r="K14">
            <v>164527729</v>
          </cell>
          <cell r="L14">
            <v>108387381.00000001</v>
          </cell>
          <cell r="M14">
            <v>13402745</v>
          </cell>
          <cell r="N14">
            <v>468054390</v>
          </cell>
          <cell r="O14">
            <v>17411967</v>
          </cell>
          <cell r="P14">
            <v>192535258</v>
          </cell>
          <cell r="Q14">
            <v>9527070</v>
          </cell>
          <cell r="R14">
            <v>142527761</v>
          </cell>
          <cell r="S14">
            <v>6192322890</v>
          </cell>
          <cell r="T14">
            <v>1609408932</v>
          </cell>
          <cell r="U14">
            <v>278057291</v>
          </cell>
          <cell r="V14">
            <v>31820944</v>
          </cell>
          <cell r="W14">
            <v>303481947.62</v>
          </cell>
          <cell r="X14">
            <v>410251901</v>
          </cell>
          <cell r="Y14">
            <v>42712702</v>
          </cell>
          <cell r="Z14">
            <v>545070971.21000004</v>
          </cell>
          <cell r="AA14">
            <v>88422843.38000001</v>
          </cell>
          <cell r="AB14">
            <v>1132821899</v>
          </cell>
          <cell r="AC14">
            <v>170301337</v>
          </cell>
          <cell r="AD14">
            <v>275782285</v>
          </cell>
          <cell r="AE14">
            <v>50694892</v>
          </cell>
          <cell r="AF14">
            <v>3681961954</v>
          </cell>
          <cell r="AG14">
            <v>10324537</v>
          </cell>
          <cell r="AH14">
            <v>123740530</v>
          </cell>
          <cell r="AI14">
            <v>2603180599</v>
          </cell>
          <cell r="AJ14">
            <v>10155000000</v>
          </cell>
          <cell r="AK14">
            <v>5300789236.3999996</v>
          </cell>
          <cell r="AL14">
            <v>80181103.019999981</v>
          </cell>
          <cell r="AM14">
            <v>70919973</v>
          </cell>
          <cell r="AN14">
            <v>534309984</v>
          </cell>
          <cell r="AO14">
            <v>1189584739</v>
          </cell>
          <cell r="AP14">
            <v>183413288</v>
          </cell>
          <cell r="AQ14">
            <v>130934010</v>
          </cell>
          <cell r="AR14">
            <v>2082836545</v>
          </cell>
          <cell r="AS14">
            <v>125234669</v>
          </cell>
          <cell r="AT14">
            <v>155470955</v>
          </cell>
          <cell r="AU14">
            <v>443702038</v>
          </cell>
          <cell r="AV14">
            <v>415120540</v>
          </cell>
          <cell r="AW14">
            <v>774957810</v>
          </cell>
          <cell r="AX14">
            <v>109952191</v>
          </cell>
          <cell r="AY14">
            <v>223769554</v>
          </cell>
          <cell r="AZ14">
            <v>339468569</v>
          </cell>
          <cell r="BA14">
            <v>80532530</v>
          </cell>
          <cell r="BB14">
            <v>963746139</v>
          </cell>
          <cell r="BC14">
            <v>159229457</v>
          </cell>
          <cell r="BD14">
            <v>201325040</v>
          </cell>
          <cell r="BE14">
            <v>643193043</v>
          </cell>
          <cell r="BF14">
            <v>117286495.45</v>
          </cell>
          <cell r="BG14">
            <v>55346144.689999983</v>
          </cell>
          <cell r="BH14">
            <v>508211600</v>
          </cell>
          <cell r="BI14">
            <v>127173232</v>
          </cell>
          <cell r="BJ14">
            <v>5599743568</v>
          </cell>
          <cell r="BK14">
            <v>359137341</v>
          </cell>
          <cell r="BL14">
            <v>66345432</v>
          </cell>
          <cell r="BM14">
            <v>65341582</v>
          </cell>
          <cell r="BN14">
            <v>38680413</v>
          </cell>
          <cell r="BO14">
            <v>174003021</v>
          </cell>
          <cell r="BP14">
            <v>634278658</v>
          </cell>
          <cell r="BQ14">
            <v>132757286</v>
          </cell>
          <cell r="BR14">
            <v>19550941477</v>
          </cell>
          <cell r="BS14">
            <v>1530853410</v>
          </cell>
          <cell r="BT14">
            <v>30135251.039999992</v>
          </cell>
          <cell r="BU14">
            <v>962918154</v>
          </cell>
          <cell r="BV14">
            <v>249393331</v>
          </cell>
          <cell r="BW14">
            <v>61950651.800000004</v>
          </cell>
          <cell r="BX14">
            <v>129510516.66</v>
          </cell>
          <cell r="BY14">
            <v>40776614</v>
          </cell>
          <cell r="BZ14">
            <v>254751124</v>
          </cell>
          <cell r="CA14">
            <v>496295509</v>
          </cell>
          <cell r="CB14">
            <v>248441640</v>
          </cell>
          <cell r="CC14">
            <v>31179307</v>
          </cell>
        </row>
        <row r="15">
          <cell r="A15" t="str">
            <v>kW</v>
          </cell>
          <cell r="B15" t="str">
            <v>YD</v>
          </cell>
          <cell r="C15">
            <v>2009</v>
          </cell>
          <cell r="D15">
            <v>150499</v>
          </cell>
          <cell r="E15">
            <v>31409</v>
          </cell>
          <cell r="F15">
            <v>1394434</v>
          </cell>
          <cell r="G15">
            <v>4609</v>
          </cell>
          <cell r="H15">
            <v>1394970</v>
          </cell>
          <cell r="I15">
            <v>2386423</v>
          </cell>
          <cell r="J15">
            <v>2308821</v>
          </cell>
          <cell r="K15">
            <v>376220</v>
          </cell>
          <cell r="L15">
            <v>228343</v>
          </cell>
          <cell r="M15">
            <v>20811</v>
          </cell>
          <cell r="N15">
            <v>1084858</v>
          </cell>
          <cell r="O15">
            <v>35048</v>
          </cell>
          <cell r="P15">
            <v>350608</v>
          </cell>
          <cell r="Q15">
            <v>13113</v>
          </cell>
          <cell r="R15">
            <v>213198</v>
          </cell>
          <cell r="S15">
            <v>13345239</v>
          </cell>
          <cell r="T15">
            <v>3827049</v>
          </cell>
          <cell r="U15">
            <v>645563</v>
          </cell>
          <cell r="V15">
            <v>0</v>
          </cell>
          <cell r="W15">
            <v>603729</v>
          </cell>
          <cell r="X15">
            <v>950901</v>
          </cell>
          <cell r="Y15">
            <v>65081</v>
          </cell>
          <cell r="Z15">
            <v>992846</v>
          </cell>
          <cell r="AA15">
            <v>163379</v>
          </cell>
          <cell r="AB15">
            <v>2360057</v>
          </cell>
          <cell r="AC15">
            <v>325026</v>
          </cell>
          <cell r="AD15">
            <v>598454</v>
          </cell>
          <cell r="AE15">
            <v>119711</v>
          </cell>
          <cell r="AF15">
            <v>7817413</v>
          </cell>
          <cell r="AG15">
            <v>12224</v>
          </cell>
          <cell r="AH15">
            <v>239150</v>
          </cell>
          <cell r="AI15">
            <v>5664567</v>
          </cell>
          <cell r="AJ15">
            <v>26925898</v>
          </cell>
          <cell r="AK15">
            <v>10264696</v>
          </cell>
          <cell r="AL15">
            <v>148422</v>
          </cell>
          <cell r="AM15">
            <v>114230</v>
          </cell>
          <cell r="AN15">
            <v>1030442</v>
          </cell>
          <cell r="AO15">
            <v>2384630</v>
          </cell>
          <cell r="AP15">
            <v>345047</v>
          </cell>
          <cell r="AQ15">
            <v>213142</v>
          </cell>
          <cell r="AR15">
            <v>4384882</v>
          </cell>
          <cell r="AS15">
            <v>277595</v>
          </cell>
          <cell r="AT15">
            <v>332223</v>
          </cell>
          <cell r="AU15">
            <v>925046</v>
          </cell>
          <cell r="AV15">
            <v>812260</v>
          </cell>
          <cell r="AW15">
            <v>1725139</v>
          </cell>
          <cell r="AX15">
            <v>197662</v>
          </cell>
          <cell r="AY15">
            <v>372852</v>
          </cell>
          <cell r="AZ15">
            <v>675234</v>
          </cell>
          <cell r="BA15">
            <v>172175</v>
          </cell>
          <cell r="BB15">
            <v>1955912</v>
          </cell>
          <cell r="BC15">
            <v>312469</v>
          </cell>
          <cell r="BD15">
            <v>393736</v>
          </cell>
          <cell r="BE15">
            <v>1168105</v>
          </cell>
          <cell r="BF15">
            <v>217261</v>
          </cell>
          <cell r="BG15">
            <v>96580</v>
          </cell>
          <cell r="BH15">
            <v>963985</v>
          </cell>
          <cell r="BI15">
            <v>363702</v>
          </cell>
          <cell r="BJ15">
            <v>11721832</v>
          </cell>
          <cell r="BK15">
            <v>659698</v>
          </cell>
          <cell r="BL15">
            <v>144821</v>
          </cell>
          <cell r="BM15">
            <v>134035</v>
          </cell>
          <cell r="BN15">
            <v>58186</v>
          </cell>
          <cell r="BO15">
            <v>367423</v>
          </cell>
          <cell r="BP15">
            <v>1351705</v>
          </cell>
          <cell r="BQ15">
            <v>0</v>
          </cell>
          <cell r="BR15">
            <v>42350721</v>
          </cell>
          <cell r="BS15">
            <v>2878540</v>
          </cell>
          <cell r="BT15">
            <v>30125</v>
          </cell>
          <cell r="BU15">
            <v>1850782</v>
          </cell>
          <cell r="BV15">
            <v>709365</v>
          </cell>
          <cell r="BW15">
            <v>154016</v>
          </cell>
          <cell r="BX15">
            <v>276794</v>
          </cell>
          <cell r="BY15">
            <v>89880</v>
          </cell>
          <cell r="BZ15">
            <v>469679</v>
          </cell>
          <cell r="CA15">
            <v>1003290</v>
          </cell>
          <cell r="CB15">
            <v>578242</v>
          </cell>
          <cell r="CC15">
            <v>56504</v>
          </cell>
        </row>
        <row r="16">
          <cell r="A16" t="str">
            <v>kW - Residential</v>
          </cell>
          <cell r="B16" t="str">
            <v>YDR</v>
          </cell>
          <cell r="C16">
            <v>2009</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2009</v>
          </cell>
          <cell r="D17">
            <v>150499</v>
          </cell>
          <cell r="E17">
            <v>31409</v>
          </cell>
          <cell r="F17">
            <v>1394434</v>
          </cell>
          <cell r="G17">
            <v>4609</v>
          </cell>
          <cell r="H17">
            <v>1394970</v>
          </cell>
          <cell r="I17">
            <v>2386423</v>
          </cell>
          <cell r="J17">
            <v>2308821</v>
          </cell>
          <cell r="K17">
            <v>376220</v>
          </cell>
          <cell r="L17">
            <v>228343</v>
          </cell>
          <cell r="M17">
            <v>20811</v>
          </cell>
          <cell r="N17">
            <v>1084858</v>
          </cell>
          <cell r="O17">
            <v>35048</v>
          </cell>
          <cell r="P17">
            <v>350608</v>
          </cell>
          <cell r="Q17">
            <v>13113</v>
          </cell>
          <cell r="R17">
            <v>213198</v>
          </cell>
          <cell r="S17">
            <v>13345239</v>
          </cell>
          <cell r="T17">
            <v>3827049</v>
          </cell>
          <cell r="U17">
            <v>645563</v>
          </cell>
          <cell r="V17">
            <v>0</v>
          </cell>
          <cell r="W17">
            <v>603729</v>
          </cell>
          <cell r="X17">
            <v>950901</v>
          </cell>
          <cell r="Y17">
            <v>65081</v>
          </cell>
          <cell r="Z17">
            <v>992846</v>
          </cell>
          <cell r="AA17">
            <v>163379</v>
          </cell>
          <cell r="AB17">
            <v>2360057</v>
          </cell>
          <cell r="AC17">
            <v>325026</v>
          </cell>
          <cell r="AD17">
            <v>598454</v>
          </cell>
          <cell r="AE17">
            <v>119711</v>
          </cell>
          <cell r="AF17">
            <v>7817413</v>
          </cell>
          <cell r="AG17">
            <v>12224</v>
          </cell>
          <cell r="AH17">
            <v>239150</v>
          </cell>
          <cell r="AI17">
            <v>5664567</v>
          </cell>
          <cell r="AJ17">
            <v>26925898</v>
          </cell>
          <cell r="AK17">
            <v>10264696</v>
          </cell>
          <cell r="AL17">
            <v>148422</v>
          </cell>
          <cell r="AM17">
            <v>114230</v>
          </cell>
          <cell r="AN17">
            <v>1030442</v>
          </cell>
          <cell r="AO17">
            <v>2384630</v>
          </cell>
          <cell r="AP17">
            <v>345047</v>
          </cell>
          <cell r="AQ17">
            <v>213142</v>
          </cell>
          <cell r="AR17">
            <v>4384882</v>
          </cell>
          <cell r="AS17">
            <v>277595</v>
          </cell>
          <cell r="AT17">
            <v>332223</v>
          </cell>
          <cell r="AU17">
            <v>925046</v>
          </cell>
          <cell r="AV17">
            <v>812260</v>
          </cell>
          <cell r="AW17">
            <v>1725139</v>
          </cell>
          <cell r="AX17">
            <v>197662</v>
          </cell>
          <cell r="AY17">
            <v>372852</v>
          </cell>
          <cell r="AZ17">
            <v>675234</v>
          </cell>
          <cell r="BA17">
            <v>172175</v>
          </cell>
          <cell r="BB17">
            <v>1955912</v>
          </cell>
          <cell r="BC17">
            <v>312469</v>
          </cell>
          <cell r="BD17">
            <v>393736</v>
          </cell>
          <cell r="BE17">
            <v>1168105</v>
          </cell>
          <cell r="BF17">
            <v>217261</v>
          </cell>
          <cell r="BG17">
            <v>96580</v>
          </cell>
          <cell r="BH17">
            <v>963985</v>
          </cell>
          <cell r="BI17">
            <v>363702</v>
          </cell>
          <cell r="BJ17">
            <v>11721832</v>
          </cell>
          <cell r="BK17">
            <v>659698</v>
          </cell>
          <cell r="BL17">
            <v>144821</v>
          </cell>
          <cell r="BM17">
            <v>134035</v>
          </cell>
          <cell r="BN17">
            <v>58186</v>
          </cell>
          <cell r="BO17">
            <v>367423</v>
          </cell>
          <cell r="BP17">
            <v>1351705</v>
          </cell>
          <cell r="BQ17">
            <v>0</v>
          </cell>
          <cell r="BR17">
            <v>42350721</v>
          </cell>
          <cell r="BS17">
            <v>2878540</v>
          </cell>
          <cell r="BT17">
            <v>30125</v>
          </cell>
          <cell r="BU17">
            <v>1850782</v>
          </cell>
          <cell r="BV17">
            <v>709365</v>
          </cell>
          <cell r="BW17">
            <v>154016</v>
          </cell>
          <cell r="BX17">
            <v>276794</v>
          </cell>
          <cell r="BY17">
            <v>89880</v>
          </cell>
          <cell r="BZ17">
            <v>469679</v>
          </cell>
          <cell r="CA17">
            <v>1003290</v>
          </cell>
          <cell r="CB17">
            <v>578242</v>
          </cell>
          <cell r="CC17">
            <v>56504</v>
          </cell>
        </row>
        <row r="18">
          <cell r="A18" t="str">
            <v>Total service area</v>
          </cell>
          <cell r="B18" t="str">
            <v>AREA</v>
          </cell>
          <cell r="C18">
            <v>2009</v>
          </cell>
          <cell r="D18">
            <v>14200</v>
          </cell>
          <cell r="E18">
            <v>380</v>
          </cell>
          <cell r="F18">
            <v>201</v>
          </cell>
          <cell r="G18">
            <v>258</v>
          </cell>
          <cell r="H18">
            <v>74</v>
          </cell>
          <cell r="I18">
            <v>188</v>
          </cell>
          <cell r="J18">
            <v>303</v>
          </cell>
          <cell r="K18">
            <v>168</v>
          </cell>
          <cell r="L18">
            <v>10</v>
          </cell>
          <cell r="M18">
            <v>2</v>
          </cell>
          <cell r="N18">
            <v>70</v>
          </cell>
          <cell r="O18">
            <v>4</v>
          </cell>
          <cell r="P18">
            <v>57</v>
          </cell>
          <cell r="Q18">
            <v>5</v>
          </cell>
          <cell r="R18">
            <v>22</v>
          </cell>
          <cell r="S18">
            <v>287</v>
          </cell>
          <cell r="T18">
            <v>120</v>
          </cell>
          <cell r="U18">
            <v>1877</v>
          </cell>
          <cell r="V18">
            <v>99</v>
          </cell>
          <cell r="W18">
            <v>104</v>
          </cell>
          <cell r="X18">
            <v>44</v>
          </cell>
          <cell r="Y18">
            <v>26</v>
          </cell>
          <cell r="Z18">
            <v>410</v>
          </cell>
          <cell r="AA18">
            <v>67</v>
          </cell>
          <cell r="AB18">
            <v>93</v>
          </cell>
          <cell r="AC18">
            <v>1252</v>
          </cell>
          <cell r="AD18">
            <v>281</v>
          </cell>
          <cell r="AE18">
            <v>93</v>
          </cell>
          <cell r="AF18">
            <v>426</v>
          </cell>
          <cell r="AG18">
            <v>9</v>
          </cell>
          <cell r="AH18">
            <v>8</v>
          </cell>
          <cell r="AI18">
            <v>269</v>
          </cell>
          <cell r="AJ18">
            <v>650000</v>
          </cell>
          <cell r="AK18">
            <v>1104</v>
          </cell>
          <cell r="AL18">
            <v>292</v>
          </cell>
          <cell r="AM18">
            <v>24</v>
          </cell>
          <cell r="AN18">
            <v>32</v>
          </cell>
          <cell r="AO18">
            <v>404</v>
          </cell>
          <cell r="AP18">
            <v>27</v>
          </cell>
          <cell r="AQ18">
            <v>144</v>
          </cell>
          <cell r="AR18">
            <v>421</v>
          </cell>
          <cell r="AS18">
            <v>26</v>
          </cell>
          <cell r="AT18">
            <v>20</v>
          </cell>
          <cell r="AU18">
            <v>370</v>
          </cell>
          <cell r="AV18">
            <v>74</v>
          </cell>
          <cell r="AW18">
            <v>827</v>
          </cell>
          <cell r="AX18">
            <v>133</v>
          </cell>
          <cell r="AY18">
            <v>693</v>
          </cell>
          <cell r="AZ18">
            <v>330</v>
          </cell>
          <cell r="BA18">
            <v>28</v>
          </cell>
          <cell r="BB18">
            <v>143</v>
          </cell>
          <cell r="BC18">
            <v>17</v>
          </cell>
          <cell r="BD18">
            <v>27</v>
          </cell>
          <cell r="BE18">
            <v>149</v>
          </cell>
          <cell r="BF18">
            <v>35</v>
          </cell>
          <cell r="BG18">
            <v>15</v>
          </cell>
          <cell r="BH18">
            <v>64</v>
          </cell>
          <cell r="BI18">
            <v>122</v>
          </cell>
          <cell r="BJ18">
            <v>806</v>
          </cell>
          <cell r="BK18">
            <v>342</v>
          </cell>
          <cell r="BL18">
            <v>13</v>
          </cell>
          <cell r="BM18">
            <v>18</v>
          </cell>
          <cell r="BN18">
            <v>536</v>
          </cell>
          <cell r="BO18">
            <v>33</v>
          </cell>
          <cell r="BP18">
            <v>381</v>
          </cell>
          <cell r="BQ18">
            <v>24</v>
          </cell>
          <cell r="BR18">
            <v>630</v>
          </cell>
          <cell r="BS18">
            <v>639</v>
          </cell>
          <cell r="BT18">
            <v>61</v>
          </cell>
          <cell r="BU18">
            <v>672</v>
          </cell>
          <cell r="BV18">
            <v>86</v>
          </cell>
          <cell r="BW18">
            <v>14</v>
          </cell>
          <cell r="BX18">
            <v>8</v>
          </cell>
          <cell r="BY18">
            <v>6</v>
          </cell>
          <cell r="BZ18">
            <v>49</v>
          </cell>
          <cell r="CA18">
            <v>148</v>
          </cell>
          <cell r="CB18">
            <v>29</v>
          </cell>
          <cell r="CC18">
            <v>66</v>
          </cell>
        </row>
        <row r="19">
          <cell r="A19" t="str">
            <v>Urban service area</v>
          </cell>
          <cell r="B19" t="str">
            <v>AREAURB</v>
          </cell>
          <cell r="C19">
            <v>2009</v>
          </cell>
          <cell r="D19">
            <v>3</v>
          </cell>
          <cell r="E19">
            <v>380</v>
          </cell>
          <cell r="F19">
            <v>54</v>
          </cell>
          <cell r="G19">
            <v>4</v>
          </cell>
          <cell r="H19">
            <v>74</v>
          </cell>
          <cell r="I19">
            <v>98</v>
          </cell>
          <cell r="J19">
            <v>90</v>
          </cell>
          <cell r="K19">
            <v>35</v>
          </cell>
          <cell r="L19">
            <v>10</v>
          </cell>
          <cell r="M19">
            <v>2</v>
          </cell>
          <cell r="N19">
            <v>70</v>
          </cell>
          <cell r="O19">
            <v>4</v>
          </cell>
          <cell r="P19">
            <v>57</v>
          </cell>
          <cell r="Q19">
            <v>5</v>
          </cell>
          <cell r="R19">
            <v>22</v>
          </cell>
          <cell r="S19">
            <v>287</v>
          </cell>
          <cell r="T19">
            <v>120</v>
          </cell>
          <cell r="U19">
            <v>47</v>
          </cell>
          <cell r="V19">
            <v>26</v>
          </cell>
          <cell r="W19">
            <v>66</v>
          </cell>
          <cell r="X19">
            <v>44</v>
          </cell>
          <cell r="Y19">
            <v>26</v>
          </cell>
          <cell r="Z19">
            <v>290</v>
          </cell>
          <cell r="AA19">
            <v>22</v>
          </cell>
          <cell r="AB19">
            <v>93</v>
          </cell>
          <cell r="AC19">
            <v>36</v>
          </cell>
          <cell r="AD19">
            <v>25</v>
          </cell>
          <cell r="AE19">
            <v>93</v>
          </cell>
          <cell r="AF19">
            <v>338</v>
          </cell>
          <cell r="AG19">
            <v>9</v>
          </cell>
          <cell r="AH19">
            <v>8</v>
          </cell>
          <cell r="AI19">
            <v>269</v>
          </cell>
          <cell r="AJ19">
            <v>0</v>
          </cell>
          <cell r="AK19">
            <v>454</v>
          </cell>
          <cell r="AL19">
            <v>63</v>
          </cell>
          <cell r="AM19">
            <v>24</v>
          </cell>
          <cell r="AN19">
            <v>32</v>
          </cell>
          <cell r="AO19">
            <v>124</v>
          </cell>
          <cell r="AP19">
            <v>27</v>
          </cell>
          <cell r="AQ19">
            <v>16</v>
          </cell>
          <cell r="AR19">
            <v>163</v>
          </cell>
          <cell r="AS19">
            <v>26</v>
          </cell>
          <cell r="AT19">
            <v>20</v>
          </cell>
          <cell r="AU19">
            <v>57</v>
          </cell>
          <cell r="AV19">
            <v>71</v>
          </cell>
          <cell r="AW19">
            <v>68</v>
          </cell>
          <cell r="AX19">
            <v>14</v>
          </cell>
          <cell r="AY19">
            <v>144</v>
          </cell>
          <cell r="AZ19">
            <v>51</v>
          </cell>
          <cell r="BA19">
            <v>28</v>
          </cell>
          <cell r="BB19">
            <v>102</v>
          </cell>
          <cell r="BC19">
            <v>17</v>
          </cell>
          <cell r="BD19">
            <v>27</v>
          </cell>
          <cell r="BE19">
            <v>71</v>
          </cell>
          <cell r="BF19">
            <v>35</v>
          </cell>
          <cell r="BG19">
            <v>15</v>
          </cell>
          <cell r="BH19">
            <v>64</v>
          </cell>
          <cell r="BI19">
            <v>20</v>
          </cell>
          <cell r="BJ19">
            <v>503</v>
          </cell>
          <cell r="BK19">
            <v>58</v>
          </cell>
          <cell r="BL19">
            <v>13</v>
          </cell>
          <cell r="BM19">
            <v>11</v>
          </cell>
          <cell r="BN19">
            <v>6</v>
          </cell>
          <cell r="BO19">
            <v>33</v>
          </cell>
          <cell r="BP19">
            <v>122</v>
          </cell>
          <cell r="BQ19">
            <v>21</v>
          </cell>
          <cell r="BR19">
            <v>630</v>
          </cell>
          <cell r="BS19">
            <v>253</v>
          </cell>
          <cell r="BT19">
            <v>53</v>
          </cell>
          <cell r="BU19">
            <v>65</v>
          </cell>
          <cell r="BV19">
            <v>86</v>
          </cell>
          <cell r="BW19">
            <v>14</v>
          </cell>
          <cell r="BX19">
            <v>8</v>
          </cell>
          <cell r="BY19">
            <v>6</v>
          </cell>
          <cell r="BZ19">
            <v>49</v>
          </cell>
          <cell r="CA19">
            <v>67</v>
          </cell>
          <cell r="CB19">
            <v>29</v>
          </cell>
          <cell r="CC19">
            <v>18</v>
          </cell>
        </row>
        <row r="20">
          <cell r="A20" t="str">
            <v>Rural service area</v>
          </cell>
          <cell r="B20" t="str">
            <v>AREARUR</v>
          </cell>
          <cell r="C20">
            <v>2009</v>
          </cell>
          <cell r="D20">
            <v>14197</v>
          </cell>
          <cell r="E20">
            <v>0</v>
          </cell>
          <cell r="F20">
            <v>147</v>
          </cell>
          <cell r="G20">
            <v>254</v>
          </cell>
          <cell r="H20">
            <v>0</v>
          </cell>
          <cell r="I20">
            <v>90</v>
          </cell>
          <cell r="J20">
            <v>213</v>
          </cell>
          <cell r="K20">
            <v>133</v>
          </cell>
          <cell r="L20">
            <v>0</v>
          </cell>
          <cell r="M20">
            <v>0</v>
          </cell>
          <cell r="N20">
            <v>0</v>
          </cell>
          <cell r="O20">
            <v>0</v>
          </cell>
          <cell r="P20">
            <v>0</v>
          </cell>
          <cell r="Q20">
            <v>0</v>
          </cell>
          <cell r="R20">
            <v>0</v>
          </cell>
          <cell r="S20">
            <v>0</v>
          </cell>
          <cell r="T20">
            <v>0</v>
          </cell>
          <cell r="U20">
            <v>1830</v>
          </cell>
          <cell r="V20">
            <v>73</v>
          </cell>
          <cell r="W20">
            <v>38</v>
          </cell>
          <cell r="X20">
            <v>0</v>
          </cell>
          <cell r="Y20">
            <v>0</v>
          </cell>
          <cell r="Z20">
            <v>120</v>
          </cell>
          <cell r="AA20">
            <v>45</v>
          </cell>
          <cell r="AB20">
            <v>0</v>
          </cell>
          <cell r="AC20">
            <v>1216</v>
          </cell>
          <cell r="AD20">
            <v>256</v>
          </cell>
          <cell r="AE20">
            <v>0</v>
          </cell>
          <cell r="AF20">
            <v>88</v>
          </cell>
          <cell r="AG20">
            <v>0</v>
          </cell>
          <cell r="AH20">
            <v>0</v>
          </cell>
          <cell r="AI20">
            <v>0</v>
          </cell>
          <cell r="AJ20">
            <v>650000</v>
          </cell>
          <cell r="AK20">
            <v>650</v>
          </cell>
          <cell r="AL20">
            <v>229</v>
          </cell>
          <cell r="AM20">
            <v>0</v>
          </cell>
          <cell r="AN20">
            <v>0</v>
          </cell>
          <cell r="AO20">
            <v>280</v>
          </cell>
          <cell r="AP20">
            <v>0</v>
          </cell>
          <cell r="AQ20">
            <v>128</v>
          </cell>
          <cell r="AR20">
            <v>258</v>
          </cell>
          <cell r="AS20">
            <v>0</v>
          </cell>
          <cell r="AT20">
            <v>0</v>
          </cell>
          <cell r="AU20">
            <v>313</v>
          </cell>
          <cell r="AV20">
            <v>3</v>
          </cell>
          <cell r="AW20">
            <v>759</v>
          </cell>
          <cell r="AX20">
            <v>119</v>
          </cell>
          <cell r="AY20">
            <v>549</v>
          </cell>
          <cell r="AZ20">
            <v>279</v>
          </cell>
          <cell r="BA20">
            <v>0</v>
          </cell>
          <cell r="BB20">
            <v>41</v>
          </cell>
          <cell r="BC20">
            <v>0</v>
          </cell>
          <cell r="BD20">
            <v>0</v>
          </cell>
          <cell r="BE20">
            <v>78</v>
          </cell>
          <cell r="BF20">
            <v>0</v>
          </cell>
          <cell r="BG20">
            <v>0</v>
          </cell>
          <cell r="BH20">
            <v>0</v>
          </cell>
          <cell r="BI20">
            <v>102</v>
          </cell>
          <cell r="BJ20">
            <v>303</v>
          </cell>
          <cell r="BK20">
            <v>284</v>
          </cell>
          <cell r="BL20">
            <v>0</v>
          </cell>
          <cell r="BM20">
            <v>7</v>
          </cell>
          <cell r="BN20">
            <v>530</v>
          </cell>
          <cell r="BO20">
            <v>0</v>
          </cell>
          <cell r="BP20">
            <v>259</v>
          </cell>
          <cell r="BQ20">
            <v>3</v>
          </cell>
          <cell r="BR20">
            <v>0</v>
          </cell>
          <cell r="BS20">
            <v>386</v>
          </cell>
          <cell r="BT20">
            <v>8</v>
          </cell>
          <cell r="BU20">
            <v>607</v>
          </cell>
          <cell r="BV20">
            <v>0</v>
          </cell>
          <cell r="BW20">
            <v>0</v>
          </cell>
          <cell r="BX20">
            <v>0</v>
          </cell>
          <cell r="BY20">
            <v>0</v>
          </cell>
          <cell r="BZ20">
            <v>0</v>
          </cell>
          <cell r="CA20">
            <v>81</v>
          </cell>
          <cell r="CB20">
            <v>0</v>
          </cell>
          <cell r="CC20">
            <v>48</v>
          </cell>
        </row>
        <row r="21">
          <cell r="A21" t="str">
            <v>Service area population</v>
          </cell>
          <cell r="B21" t="str">
            <v>POP</v>
          </cell>
          <cell r="C21">
            <v>2009</v>
          </cell>
          <cell r="D21">
            <v>16789</v>
          </cell>
          <cell r="E21">
            <v>3000</v>
          </cell>
          <cell r="F21">
            <v>84379</v>
          </cell>
          <cell r="G21">
            <v>25000</v>
          </cell>
          <cell r="H21">
            <v>93399</v>
          </cell>
          <cell r="I21">
            <v>174300</v>
          </cell>
          <cell r="J21">
            <v>137350</v>
          </cell>
          <cell r="K21">
            <v>27698</v>
          </cell>
          <cell r="L21">
            <v>20500</v>
          </cell>
          <cell r="M21">
            <v>2428</v>
          </cell>
          <cell r="N21">
            <v>94769</v>
          </cell>
          <cell r="O21">
            <v>3100</v>
          </cell>
          <cell r="P21">
            <v>26000</v>
          </cell>
          <cell r="Q21">
            <v>4000</v>
          </cell>
          <cell r="R21">
            <v>21873</v>
          </cell>
          <cell r="S21">
            <v>729000</v>
          </cell>
          <cell r="T21">
            <v>215718</v>
          </cell>
          <cell r="U21">
            <v>32042</v>
          </cell>
          <cell r="V21">
            <v>7138</v>
          </cell>
          <cell r="W21">
            <v>73654</v>
          </cell>
          <cell r="X21">
            <v>43941</v>
          </cell>
          <cell r="Y21">
            <v>8315</v>
          </cell>
          <cell r="Z21">
            <v>109529</v>
          </cell>
          <cell r="AA21">
            <v>23935</v>
          </cell>
          <cell r="AB21">
            <v>120977</v>
          </cell>
          <cell r="AC21">
            <v>45212</v>
          </cell>
          <cell r="AD21">
            <v>55289</v>
          </cell>
          <cell r="AE21">
            <v>5635</v>
          </cell>
          <cell r="AF21">
            <v>572925</v>
          </cell>
          <cell r="AG21">
            <v>2630</v>
          </cell>
          <cell r="AH21">
            <v>10500</v>
          </cell>
          <cell r="AI21">
            <v>480000</v>
          </cell>
          <cell r="AJ21">
            <v>2994456</v>
          </cell>
          <cell r="AK21">
            <v>817560</v>
          </cell>
          <cell r="AL21">
            <v>34000</v>
          </cell>
          <cell r="AM21">
            <v>12000</v>
          </cell>
          <cell r="AN21">
            <v>58000</v>
          </cell>
          <cell r="AO21">
            <v>243200</v>
          </cell>
          <cell r="AP21">
            <v>22000</v>
          </cell>
          <cell r="AQ21">
            <v>22769</v>
          </cell>
          <cell r="AR21">
            <v>355000</v>
          </cell>
          <cell r="AS21">
            <v>7831</v>
          </cell>
          <cell r="AT21">
            <v>16000</v>
          </cell>
          <cell r="AU21">
            <v>77400</v>
          </cell>
          <cell r="AV21">
            <v>89898</v>
          </cell>
          <cell r="AW21">
            <v>136285</v>
          </cell>
          <cell r="AX21">
            <v>14587</v>
          </cell>
          <cell r="AY21">
            <v>31500</v>
          </cell>
          <cell r="AZ21">
            <v>55000</v>
          </cell>
          <cell r="BA21">
            <v>14000</v>
          </cell>
          <cell r="BB21">
            <v>177200</v>
          </cell>
          <cell r="BC21">
            <v>29182</v>
          </cell>
          <cell r="BD21">
            <v>31000</v>
          </cell>
          <cell r="BE21">
            <v>155000</v>
          </cell>
          <cell r="BF21">
            <v>20200</v>
          </cell>
          <cell r="BG21">
            <v>6500</v>
          </cell>
          <cell r="BH21">
            <v>81937</v>
          </cell>
          <cell r="BI21">
            <v>18003</v>
          </cell>
          <cell r="BJ21">
            <v>1030369</v>
          </cell>
          <cell r="BK21">
            <v>78000</v>
          </cell>
          <cell r="BL21">
            <v>7846</v>
          </cell>
          <cell r="BM21">
            <v>9900</v>
          </cell>
          <cell r="BN21">
            <v>5336</v>
          </cell>
          <cell r="BO21">
            <v>36000</v>
          </cell>
          <cell r="BP21">
            <v>110046</v>
          </cell>
          <cell r="BQ21">
            <v>15140</v>
          </cell>
          <cell r="BR21">
            <v>2503281</v>
          </cell>
          <cell r="BS21">
            <v>308114</v>
          </cell>
          <cell r="BT21">
            <v>17300</v>
          </cell>
          <cell r="BU21">
            <v>154370</v>
          </cell>
          <cell r="BV21">
            <v>50331</v>
          </cell>
          <cell r="BW21">
            <v>7200</v>
          </cell>
          <cell r="BX21">
            <v>7251</v>
          </cell>
          <cell r="BY21">
            <v>3900</v>
          </cell>
          <cell r="BZ21">
            <v>47229</v>
          </cell>
          <cell r="CA21">
            <v>121300</v>
          </cell>
          <cell r="CB21">
            <v>35000</v>
          </cell>
          <cell r="CC21">
            <v>6700</v>
          </cell>
        </row>
        <row r="22">
          <cell r="A22" t="str">
            <v>Municipal population</v>
          </cell>
          <cell r="B22" t="str">
            <v>POPCITY</v>
          </cell>
          <cell r="C22">
            <v>2009</v>
          </cell>
          <cell r="D22">
            <v>10552</v>
          </cell>
          <cell r="E22">
            <v>3000</v>
          </cell>
          <cell r="F22">
            <v>86689</v>
          </cell>
          <cell r="G22">
            <v>30000</v>
          </cell>
          <cell r="H22">
            <v>93399</v>
          </cell>
          <cell r="I22">
            <v>174300</v>
          </cell>
          <cell r="J22">
            <v>137350</v>
          </cell>
          <cell r="K22">
            <v>27698</v>
          </cell>
          <cell r="L22">
            <v>27500</v>
          </cell>
          <cell r="M22">
            <v>2428</v>
          </cell>
          <cell r="N22">
            <v>107615</v>
          </cell>
          <cell r="O22">
            <v>3100</v>
          </cell>
          <cell r="P22">
            <v>26000</v>
          </cell>
          <cell r="Q22">
            <v>12500</v>
          </cell>
          <cell r="R22">
            <v>74185</v>
          </cell>
          <cell r="S22">
            <v>729000</v>
          </cell>
          <cell r="T22">
            <v>216473</v>
          </cell>
          <cell r="U22">
            <v>35246</v>
          </cell>
          <cell r="V22">
            <v>8700</v>
          </cell>
          <cell r="W22">
            <v>105220</v>
          </cell>
          <cell r="X22">
            <v>43941</v>
          </cell>
          <cell r="Y22">
            <v>8315</v>
          </cell>
          <cell r="Z22">
            <v>170219</v>
          </cell>
          <cell r="AA22">
            <v>23935</v>
          </cell>
          <cell r="AB22">
            <v>127439</v>
          </cell>
          <cell r="AC22">
            <v>45212</v>
          </cell>
          <cell r="AD22">
            <v>55289</v>
          </cell>
          <cell r="AE22">
            <v>5635</v>
          </cell>
          <cell r="AF22">
            <v>648221</v>
          </cell>
          <cell r="AG22">
            <v>9500</v>
          </cell>
          <cell r="AH22">
            <v>10500</v>
          </cell>
          <cell r="AI22">
            <v>480000</v>
          </cell>
          <cell r="AJ22">
            <v>2994456</v>
          </cell>
          <cell r="AK22">
            <v>908400</v>
          </cell>
          <cell r="AL22">
            <v>34000</v>
          </cell>
          <cell r="AM22">
            <v>16500</v>
          </cell>
          <cell r="AN22">
            <v>119000</v>
          </cell>
          <cell r="AO22">
            <v>243200</v>
          </cell>
          <cell r="AP22">
            <v>22000</v>
          </cell>
          <cell r="AQ22">
            <v>36889</v>
          </cell>
          <cell r="AR22">
            <v>355000</v>
          </cell>
          <cell r="AS22">
            <v>21749</v>
          </cell>
          <cell r="AT22">
            <v>17000</v>
          </cell>
          <cell r="AU22">
            <v>77400</v>
          </cell>
          <cell r="AV22">
            <v>136438</v>
          </cell>
          <cell r="AW22">
            <v>137189</v>
          </cell>
          <cell r="AX22">
            <v>14587</v>
          </cell>
          <cell r="AY22">
            <v>63000</v>
          </cell>
          <cell r="AZ22">
            <v>55000</v>
          </cell>
          <cell r="BA22">
            <v>18777</v>
          </cell>
          <cell r="BB22">
            <v>177200</v>
          </cell>
          <cell r="BC22">
            <v>29182</v>
          </cell>
          <cell r="BD22">
            <v>31000</v>
          </cell>
          <cell r="BE22">
            <v>155000</v>
          </cell>
          <cell r="BF22">
            <v>20200</v>
          </cell>
          <cell r="BG22">
            <v>6500</v>
          </cell>
          <cell r="BH22">
            <v>81937</v>
          </cell>
          <cell r="BI22">
            <v>18003</v>
          </cell>
          <cell r="BJ22">
            <v>1030369</v>
          </cell>
          <cell r="BK22">
            <v>75000</v>
          </cell>
          <cell r="BL22">
            <v>7846</v>
          </cell>
          <cell r="BM22">
            <v>16700</v>
          </cell>
          <cell r="BN22">
            <v>5336</v>
          </cell>
          <cell r="BO22">
            <v>36000</v>
          </cell>
          <cell r="BP22">
            <v>109141</v>
          </cell>
          <cell r="BQ22">
            <v>15000</v>
          </cell>
          <cell r="BR22">
            <v>2503281</v>
          </cell>
          <cell r="BS22">
            <v>419985</v>
          </cell>
          <cell r="BT22">
            <v>17300</v>
          </cell>
          <cell r="BU22">
            <v>154370</v>
          </cell>
          <cell r="BV22">
            <v>50331</v>
          </cell>
          <cell r="BW22">
            <v>11500</v>
          </cell>
          <cell r="BX22">
            <v>7251</v>
          </cell>
          <cell r="BY22">
            <v>9000</v>
          </cell>
          <cell r="BZ22">
            <v>77847</v>
          </cell>
          <cell r="CA22">
            <v>121300</v>
          </cell>
          <cell r="CB22">
            <v>36000</v>
          </cell>
          <cell r="CC22">
            <v>5000</v>
          </cell>
        </row>
        <row r="23">
          <cell r="A23" t="str">
            <v>No seasonal occupacy customers</v>
          </cell>
          <cell r="B23" t="str">
            <v>YNSUM</v>
          </cell>
          <cell r="C23">
            <v>2009</v>
          </cell>
          <cell r="D23">
            <v>3643</v>
          </cell>
          <cell r="E23">
            <v>0</v>
          </cell>
          <cell r="F23">
            <v>0</v>
          </cell>
          <cell r="G23">
            <v>0</v>
          </cell>
          <cell r="H23">
            <v>0</v>
          </cell>
          <cell r="I23">
            <v>0</v>
          </cell>
          <cell r="J23">
            <v>0</v>
          </cell>
          <cell r="K23">
            <v>0</v>
          </cell>
          <cell r="L23">
            <v>0</v>
          </cell>
          <cell r="M23">
            <v>3</v>
          </cell>
          <cell r="N23">
            <v>0</v>
          </cell>
          <cell r="O23">
            <v>0</v>
          </cell>
          <cell r="P23">
            <v>0</v>
          </cell>
          <cell r="Q23">
            <v>0</v>
          </cell>
          <cell r="R23">
            <v>0</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154561</v>
          </cell>
          <cell r="AK23">
            <v>0</v>
          </cell>
          <cell r="AL23">
            <v>832</v>
          </cell>
          <cell r="AM23">
            <v>0</v>
          </cell>
          <cell r="AN23">
            <v>0</v>
          </cell>
          <cell r="AO23">
            <v>0</v>
          </cell>
          <cell r="AP23">
            <v>0</v>
          </cell>
          <cell r="AQ23">
            <v>192</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1601</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2009</v>
          </cell>
          <cell r="D24">
            <v>41137</v>
          </cell>
          <cell r="E24">
            <v>5065</v>
          </cell>
          <cell r="F24">
            <v>148400</v>
          </cell>
          <cell r="G24">
            <v>44355</v>
          </cell>
          <cell r="H24">
            <v>152415</v>
          </cell>
          <cell r="I24">
            <v>267776</v>
          </cell>
          <cell r="J24">
            <v>235126</v>
          </cell>
          <cell r="K24">
            <v>48100</v>
          </cell>
          <cell r="L24">
            <v>27294</v>
          </cell>
          <cell r="M24">
            <v>7365</v>
          </cell>
          <cell r="N24">
            <v>121498</v>
          </cell>
          <cell r="O24">
            <v>5854</v>
          </cell>
          <cell r="P24">
            <v>59168</v>
          </cell>
          <cell r="Q24">
            <v>6862</v>
          </cell>
          <cell r="R24">
            <v>45013</v>
          </cell>
          <cell r="S24">
            <v>1188400</v>
          </cell>
          <cell r="T24">
            <v>399800</v>
          </cell>
          <cell r="U24">
            <v>64679</v>
          </cell>
          <cell r="V24">
            <v>15590</v>
          </cell>
          <cell r="W24">
            <v>86442</v>
          </cell>
          <cell r="X24">
            <v>93350</v>
          </cell>
          <cell r="Y24">
            <v>18432</v>
          </cell>
          <cell r="Z24">
            <v>206940</v>
          </cell>
          <cell r="AA24">
            <v>30568</v>
          </cell>
          <cell r="AB24">
            <v>246202</v>
          </cell>
          <cell r="AC24">
            <v>109996</v>
          </cell>
          <cell r="AD24">
            <v>83214</v>
          </cell>
          <cell r="AE24">
            <v>18067</v>
          </cell>
          <cell r="AF24">
            <v>850861</v>
          </cell>
          <cell r="AG24">
            <v>7009</v>
          </cell>
          <cell r="AH24">
            <v>35693</v>
          </cell>
          <cell r="AI24">
            <v>590772</v>
          </cell>
          <cell r="AJ24">
            <v>4143339</v>
          </cell>
          <cell r="AK24">
            <v>1268127</v>
          </cell>
          <cell r="AL24">
            <v>49692</v>
          </cell>
          <cell r="AM24">
            <v>22360</v>
          </cell>
          <cell r="AN24">
            <v>134412</v>
          </cell>
          <cell r="AO24">
            <v>309396</v>
          </cell>
          <cell r="AP24">
            <v>44396</v>
          </cell>
          <cell r="AQ24">
            <v>44128</v>
          </cell>
          <cell r="AR24">
            <v>535154</v>
          </cell>
          <cell r="AS24">
            <v>33090</v>
          </cell>
          <cell r="AT24">
            <v>37116</v>
          </cell>
          <cell r="AU24">
            <v>118179</v>
          </cell>
          <cell r="AV24">
            <v>122972</v>
          </cell>
          <cell r="AW24">
            <v>193622</v>
          </cell>
          <cell r="AX24">
            <v>28303</v>
          </cell>
          <cell r="AY24">
            <v>82592</v>
          </cell>
          <cell r="AZ24">
            <v>119797</v>
          </cell>
          <cell r="BA24">
            <v>24291</v>
          </cell>
          <cell r="BB24">
            <v>254560</v>
          </cell>
          <cell r="BC24">
            <v>43705</v>
          </cell>
          <cell r="BD24">
            <v>59109</v>
          </cell>
          <cell r="BE24">
            <v>208345</v>
          </cell>
          <cell r="BF24">
            <v>36925</v>
          </cell>
          <cell r="BG24">
            <v>20600</v>
          </cell>
          <cell r="BH24">
            <v>153787</v>
          </cell>
          <cell r="BI24">
            <v>36100</v>
          </cell>
          <cell r="BJ24">
            <v>1336784</v>
          </cell>
          <cell r="BK24">
            <v>147108</v>
          </cell>
          <cell r="BL24">
            <v>19807</v>
          </cell>
          <cell r="BM24">
            <v>26268</v>
          </cell>
          <cell r="BN24">
            <v>18326</v>
          </cell>
          <cell r="BO24">
            <v>52131</v>
          </cell>
          <cell r="BP24">
            <v>186606</v>
          </cell>
          <cell r="BQ24">
            <v>36361</v>
          </cell>
          <cell r="BR24">
            <v>4108656</v>
          </cell>
          <cell r="BS24">
            <v>433843</v>
          </cell>
          <cell r="BT24">
            <v>24315</v>
          </cell>
          <cell r="BU24">
            <v>233874</v>
          </cell>
          <cell r="BV24">
            <v>78842</v>
          </cell>
          <cell r="BW24">
            <v>16602</v>
          </cell>
          <cell r="BX24">
            <v>26342</v>
          </cell>
          <cell r="BY24">
            <v>10098</v>
          </cell>
          <cell r="BZ24">
            <v>80151</v>
          </cell>
          <cell r="CA24">
            <v>147709</v>
          </cell>
          <cell r="CB24">
            <v>62219</v>
          </cell>
          <cell r="CC24">
            <v>13097</v>
          </cell>
        </row>
        <row r="25">
          <cell r="A25" t="str">
            <v>Utility summer max peak load</v>
          </cell>
          <cell r="B25" t="str">
            <v>PEAKS</v>
          </cell>
          <cell r="C25">
            <v>2009</v>
          </cell>
          <cell r="D25">
            <v>29337</v>
          </cell>
          <cell r="E25">
            <v>4154</v>
          </cell>
          <cell r="F25">
            <v>168894</v>
          </cell>
          <cell r="G25">
            <v>46817</v>
          </cell>
          <cell r="H25">
            <v>180423</v>
          </cell>
          <cell r="I25">
            <v>350428</v>
          </cell>
          <cell r="J25">
            <v>286911</v>
          </cell>
          <cell r="K25">
            <v>56000</v>
          </cell>
          <cell r="L25">
            <v>26103</v>
          </cell>
          <cell r="M25">
            <v>4724</v>
          </cell>
          <cell r="N25">
            <v>145023</v>
          </cell>
          <cell r="O25">
            <v>5269</v>
          </cell>
          <cell r="P25">
            <v>46966</v>
          </cell>
          <cell r="Q25">
            <v>6052</v>
          </cell>
          <cell r="R25">
            <v>56218</v>
          </cell>
          <cell r="S25">
            <v>1504000</v>
          </cell>
          <cell r="T25">
            <v>494900</v>
          </cell>
          <cell r="U25">
            <v>77494</v>
          </cell>
          <cell r="V25">
            <v>9617</v>
          </cell>
          <cell r="W25">
            <v>122372</v>
          </cell>
          <cell r="X25">
            <v>99720</v>
          </cell>
          <cell r="Y25">
            <v>12143</v>
          </cell>
          <cell r="Z25">
            <v>154643</v>
          </cell>
          <cell r="AA25">
            <v>40871</v>
          </cell>
          <cell r="AB25">
            <v>267576</v>
          </cell>
          <cell r="AC25">
            <v>114709</v>
          </cell>
          <cell r="AD25">
            <v>97839</v>
          </cell>
          <cell r="AE25">
            <v>12737</v>
          </cell>
          <cell r="AF25">
            <v>1008981</v>
          </cell>
          <cell r="AG25">
            <v>4814</v>
          </cell>
          <cell r="AH25">
            <v>28593</v>
          </cell>
          <cell r="AI25">
            <v>737026</v>
          </cell>
          <cell r="AJ25">
            <v>2928200</v>
          </cell>
          <cell r="AK25">
            <v>1363575</v>
          </cell>
          <cell r="AL25">
            <v>42327</v>
          </cell>
          <cell r="AM25">
            <v>17045</v>
          </cell>
          <cell r="AN25">
            <v>111401</v>
          </cell>
          <cell r="AO25">
            <v>339973</v>
          </cell>
          <cell r="AP25">
            <v>44542</v>
          </cell>
          <cell r="AQ25">
            <v>32875</v>
          </cell>
          <cell r="AR25">
            <v>662418</v>
          </cell>
          <cell r="AS25">
            <v>39654</v>
          </cell>
          <cell r="AT25">
            <v>36857</v>
          </cell>
          <cell r="AU25">
            <v>134672</v>
          </cell>
          <cell r="AV25">
            <v>143359</v>
          </cell>
          <cell r="AW25">
            <v>254557</v>
          </cell>
          <cell r="AX25">
            <v>40256</v>
          </cell>
          <cell r="AY25">
            <v>92162</v>
          </cell>
          <cell r="AZ25">
            <v>86154</v>
          </cell>
          <cell r="BA25">
            <v>20755</v>
          </cell>
          <cell r="BB25">
            <v>339629</v>
          </cell>
          <cell r="BC25">
            <v>45326</v>
          </cell>
          <cell r="BD25">
            <v>51144</v>
          </cell>
          <cell r="BE25">
            <v>210068</v>
          </cell>
          <cell r="BF25">
            <v>29961</v>
          </cell>
          <cell r="BG25">
            <v>12820</v>
          </cell>
          <cell r="BH25">
            <v>147235</v>
          </cell>
          <cell r="BI25">
            <v>39700</v>
          </cell>
          <cell r="BJ25">
            <v>1762834</v>
          </cell>
          <cell r="BK25">
            <v>97507</v>
          </cell>
          <cell r="BL25">
            <v>18505</v>
          </cell>
          <cell r="BM25">
            <v>18378</v>
          </cell>
          <cell r="BN25">
            <v>11160</v>
          </cell>
          <cell r="BO25">
            <v>61895</v>
          </cell>
          <cell r="BP25">
            <v>153937</v>
          </cell>
          <cell r="BQ25">
            <v>41632</v>
          </cell>
          <cell r="BR25">
            <v>4607346</v>
          </cell>
          <cell r="BS25">
            <v>488365</v>
          </cell>
          <cell r="BT25">
            <v>26445</v>
          </cell>
          <cell r="BU25">
            <v>259232</v>
          </cell>
          <cell r="BV25">
            <v>85983</v>
          </cell>
          <cell r="BW25">
            <v>14640</v>
          </cell>
          <cell r="BX25">
            <v>26561</v>
          </cell>
          <cell r="BY25">
            <v>10187</v>
          </cell>
          <cell r="BZ25">
            <v>60590</v>
          </cell>
          <cell r="CA25">
            <v>184500</v>
          </cell>
          <cell r="CB25">
            <v>72543</v>
          </cell>
          <cell r="CC25">
            <v>11424</v>
          </cell>
        </row>
        <row r="26">
          <cell r="A26" t="str">
            <v>Utility average peak load</v>
          </cell>
          <cell r="B26" t="str">
            <v>PEAKA</v>
          </cell>
          <cell r="C26">
            <v>2009</v>
          </cell>
          <cell r="D26">
            <v>30518</v>
          </cell>
          <cell r="E26">
            <v>4013</v>
          </cell>
          <cell r="F26">
            <v>158646</v>
          </cell>
          <cell r="G26">
            <v>42630</v>
          </cell>
          <cell r="H26">
            <v>146901</v>
          </cell>
          <cell r="I26">
            <v>266467</v>
          </cell>
          <cell r="J26">
            <v>232785</v>
          </cell>
          <cell r="K26">
            <v>45200</v>
          </cell>
          <cell r="L26">
            <v>24370</v>
          </cell>
          <cell r="M26">
            <v>4678</v>
          </cell>
          <cell r="N26">
            <v>117115</v>
          </cell>
          <cell r="O26">
            <v>5073</v>
          </cell>
          <cell r="P26">
            <v>46907</v>
          </cell>
          <cell r="Q26">
            <v>5485</v>
          </cell>
          <cell r="R26">
            <v>42694</v>
          </cell>
          <cell r="S26">
            <v>1189800</v>
          </cell>
          <cell r="T26">
            <v>397075</v>
          </cell>
          <cell r="U26">
            <v>61376</v>
          </cell>
          <cell r="V26">
            <v>10783</v>
          </cell>
          <cell r="W26">
            <v>83563</v>
          </cell>
          <cell r="X26">
            <v>89305</v>
          </cell>
          <cell r="Y26">
            <v>13622</v>
          </cell>
          <cell r="Z26">
            <v>157619</v>
          </cell>
          <cell r="AA26">
            <v>30154</v>
          </cell>
          <cell r="AB26">
            <v>233718</v>
          </cell>
          <cell r="AC26">
            <v>93326</v>
          </cell>
          <cell r="AD26">
            <v>80504</v>
          </cell>
          <cell r="AE26">
            <v>13330</v>
          </cell>
          <cell r="AF26">
            <v>817224</v>
          </cell>
          <cell r="AG26">
            <v>4512</v>
          </cell>
          <cell r="AH26">
            <v>28720</v>
          </cell>
          <cell r="AI26">
            <v>585586</v>
          </cell>
          <cell r="AJ26">
            <v>2945626</v>
          </cell>
          <cell r="AK26">
            <v>1169307</v>
          </cell>
          <cell r="AL26">
            <v>41970</v>
          </cell>
          <cell r="AM26">
            <v>17436</v>
          </cell>
          <cell r="AN26">
            <v>109467</v>
          </cell>
          <cell r="AO26">
            <v>288021</v>
          </cell>
          <cell r="AP26">
            <v>40107</v>
          </cell>
          <cell r="AQ26">
            <v>34458</v>
          </cell>
          <cell r="AR26">
            <v>519443</v>
          </cell>
          <cell r="AS26">
            <v>31078</v>
          </cell>
          <cell r="AT26">
            <v>33740</v>
          </cell>
          <cell r="AU26">
            <v>109534</v>
          </cell>
          <cell r="AV26">
            <v>80186</v>
          </cell>
          <cell r="AW26">
            <v>186165</v>
          </cell>
          <cell r="AX26">
            <v>27121</v>
          </cell>
          <cell r="AY26">
            <v>69751</v>
          </cell>
          <cell r="AZ26">
            <v>89645</v>
          </cell>
          <cell r="BA26">
            <v>20040</v>
          </cell>
          <cell r="BB26">
            <v>253016</v>
          </cell>
          <cell r="BC26">
            <v>39984</v>
          </cell>
          <cell r="BD26">
            <v>47700</v>
          </cell>
          <cell r="BE26">
            <v>180645</v>
          </cell>
          <cell r="BF26">
            <v>28499</v>
          </cell>
          <cell r="BG26">
            <v>14548</v>
          </cell>
          <cell r="BH26">
            <v>131446</v>
          </cell>
          <cell r="BI26">
            <v>32400</v>
          </cell>
          <cell r="BJ26">
            <v>1354508</v>
          </cell>
          <cell r="BK26">
            <v>111107</v>
          </cell>
          <cell r="BL26">
            <v>16671</v>
          </cell>
          <cell r="BM26">
            <v>19194</v>
          </cell>
          <cell r="BN26">
            <v>12426</v>
          </cell>
          <cell r="BO26">
            <v>34341</v>
          </cell>
          <cell r="BP26">
            <v>154002</v>
          </cell>
          <cell r="BQ26">
            <v>35707</v>
          </cell>
          <cell r="BR26">
            <v>3489158</v>
          </cell>
          <cell r="BS26">
            <v>397920</v>
          </cell>
          <cell r="BT26">
            <v>20639</v>
          </cell>
          <cell r="BU26">
            <v>223335</v>
          </cell>
          <cell r="BV26">
            <v>71014</v>
          </cell>
          <cell r="BW26">
            <v>14642</v>
          </cell>
          <cell r="BX26">
            <v>25149</v>
          </cell>
          <cell r="BY26">
            <v>9482</v>
          </cell>
          <cell r="BZ26">
            <v>63047</v>
          </cell>
          <cell r="CA26">
            <v>142909</v>
          </cell>
          <cell r="CB26">
            <v>59078</v>
          </cell>
          <cell r="CC26">
            <v>10677</v>
          </cell>
        </row>
        <row r="27">
          <cell r="A27" t="str">
            <v>Total circuit kms of line</v>
          </cell>
          <cell r="B27" t="str">
            <v>KMC</v>
          </cell>
          <cell r="C27">
            <v>2009</v>
          </cell>
          <cell r="D27">
            <v>1845</v>
          </cell>
          <cell r="E27">
            <v>92</v>
          </cell>
          <cell r="F27">
            <v>751</v>
          </cell>
          <cell r="G27">
            <v>320</v>
          </cell>
          <cell r="H27">
            <v>541</v>
          </cell>
          <cell r="I27">
            <v>1718</v>
          </cell>
          <cell r="J27">
            <v>1105</v>
          </cell>
          <cell r="K27">
            <v>522</v>
          </cell>
          <cell r="L27">
            <v>146</v>
          </cell>
          <cell r="M27">
            <v>27</v>
          </cell>
          <cell r="N27">
            <v>810</v>
          </cell>
          <cell r="O27">
            <v>21</v>
          </cell>
          <cell r="P27">
            <v>338</v>
          </cell>
          <cell r="Q27">
            <v>27</v>
          </cell>
          <cell r="R27">
            <v>147</v>
          </cell>
          <cell r="S27">
            <v>5300</v>
          </cell>
          <cell r="T27">
            <v>1127</v>
          </cell>
          <cell r="U27">
            <v>270</v>
          </cell>
          <cell r="V27">
            <v>137</v>
          </cell>
          <cell r="W27">
            <v>458</v>
          </cell>
          <cell r="X27">
            <v>276</v>
          </cell>
          <cell r="Y27">
            <v>84</v>
          </cell>
          <cell r="Z27">
            <v>944</v>
          </cell>
          <cell r="AA27">
            <v>172</v>
          </cell>
          <cell r="AB27">
            <v>1063</v>
          </cell>
          <cell r="AC27">
            <v>1731</v>
          </cell>
          <cell r="AD27">
            <v>1363</v>
          </cell>
          <cell r="AE27">
            <v>68</v>
          </cell>
          <cell r="AF27">
            <v>3363</v>
          </cell>
          <cell r="AG27">
            <v>21</v>
          </cell>
          <cell r="AH27">
            <v>66</v>
          </cell>
          <cell r="AI27">
            <v>2778</v>
          </cell>
          <cell r="AJ27">
            <v>120750</v>
          </cell>
          <cell r="AK27">
            <v>5387</v>
          </cell>
          <cell r="AL27">
            <v>741</v>
          </cell>
          <cell r="AM27">
            <v>98</v>
          </cell>
          <cell r="AN27">
            <v>357</v>
          </cell>
          <cell r="AO27">
            <v>1854</v>
          </cell>
          <cell r="AP27">
            <v>115</v>
          </cell>
          <cell r="AQ27">
            <v>350</v>
          </cell>
          <cell r="AR27">
            <v>2705</v>
          </cell>
          <cell r="AS27">
            <v>125</v>
          </cell>
          <cell r="AT27">
            <v>115</v>
          </cell>
          <cell r="AU27">
            <v>866</v>
          </cell>
          <cell r="AV27">
            <v>1053</v>
          </cell>
          <cell r="AW27">
            <v>1944</v>
          </cell>
          <cell r="AX27">
            <v>341</v>
          </cell>
          <cell r="AY27">
            <v>765</v>
          </cell>
          <cell r="AZ27">
            <v>616</v>
          </cell>
          <cell r="BA27">
            <v>370</v>
          </cell>
          <cell r="BB27">
            <v>1428</v>
          </cell>
          <cell r="BC27">
            <v>173</v>
          </cell>
          <cell r="BD27">
            <v>307</v>
          </cell>
          <cell r="BE27">
            <v>950</v>
          </cell>
          <cell r="BF27">
            <v>146</v>
          </cell>
          <cell r="BG27">
            <v>128</v>
          </cell>
          <cell r="BH27">
            <v>550</v>
          </cell>
          <cell r="BI27">
            <v>313</v>
          </cell>
          <cell r="BJ27">
            <v>7681</v>
          </cell>
          <cell r="BK27">
            <v>732</v>
          </cell>
          <cell r="BL27">
            <v>55</v>
          </cell>
          <cell r="BM27">
            <v>89</v>
          </cell>
          <cell r="BN27">
            <v>211</v>
          </cell>
          <cell r="BO27">
            <v>243</v>
          </cell>
          <cell r="BP27">
            <v>1186</v>
          </cell>
          <cell r="BQ27">
            <v>156</v>
          </cell>
          <cell r="BR27">
            <v>9794</v>
          </cell>
          <cell r="BS27">
            <v>2201</v>
          </cell>
          <cell r="BT27">
            <v>236</v>
          </cell>
          <cell r="BU27">
            <v>1541</v>
          </cell>
          <cell r="BV27">
            <v>443</v>
          </cell>
          <cell r="BW27">
            <v>76</v>
          </cell>
          <cell r="BX27">
            <v>65</v>
          </cell>
          <cell r="BY27">
            <v>36</v>
          </cell>
          <cell r="BZ27">
            <v>436</v>
          </cell>
          <cell r="CA27">
            <v>1034</v>
          </cell>
          <cell r="CB27">
            <v>245</v>
          </cell>
          <cell r="CC27">
            <v>177</v>
          </cell>
        </row>
        <row r="28">
          <cell r="A28" t="str">
            <v>Overhead circuit kms of line</v>
          </cell>
          <cell r="B28" t="str">
            <v>KMCO</v>
          </cell>
          <cell r="C28">
            <v>2009</v>
          </cell>
          <cell r="D28">
            <v>1841</v>
          </cell>
          <cell r="E28">
            <v>92</v>
          </cell>
          <cell r="F28">
            <v>574</v>
          </cell>
          <cell r="G28">
            <v>282</v>
          </cell>
          <cell r="H28">
            <v>266</v>
          </cell>
          <cell r="I28">
            <v>1064</v>
          </cell>
          <cell r="J28">
            <v>708</v>
          </cell>
          <cell r="K28">
            <v>479</v>
          </cell>
          <cell r="L28">
            <v>77</v>
          </cell>
          <cell r="M28">
            <v>26</v>
          </cell>
          <cell r="N28">
            <v>583</v>
          </cell>
          <cell r="O28">
            <v>17</v>
          </cell>
          <cell r="P28">
            <v>213</v>
          </cell>
          <cell r="Q28">
            <v>15</v>
          </cell>
          <cell r="R28">
            <v>89</v>
          </cell>
          <cell r="S28">
            <v>1834</v>
          </cell>
          <cell r="T28">
            <v>713</v>
          </cell>
          <cell r="U28">
            <v>212</v>
          </cell>
          <cell r="V28">
            <v>126</v>
          </cell>
          <cell r="W28">
            <v>219</v>
          </cell>
          <cell r="X28">
            <v>184</v>
          </cell>
          <cell r="Y28">
            <v>76</v>
          </cell>
          <cell r="Z28">
            <v>731</v>
          </cell>
          <cell r="AA28">
            <v>139</v>
          </cell>
          <cell r="AB28">
            <v>427</v>
          </cell>
          <cell r="AC28">
            <v>1643</v>
          </cell>
          <cell r="AD28">
            <v>882</v>
          </cell>
          <cell r="AE28">
            <v>57</v>
          </cell>
          <cell r="AF28">
            <v>1520</v>
          </cell>
          <cell r="AG28">
            <v>18</v>
          </cell>
          <cell r="AH28">
            <v>56</v>
          </cell>
          <cell r="AI28">
            <v>819</v>
          </cell>
          <cell r="AJ28">
            <v>116491</v>
          </cell>
          <cell r="AK28">
            <v>2710</v>
          </cell>
          <cell r="AL28">
            <v>605</v>
          </cell>
          <cell r="AM28">
            <v>88</v>
          </cell>
          <cell r="AN28">
            <v>233</v>
          </cell>
          <cell r="AO28">
            <v>1035</v>
          </cell>
          <cell r="AP28">
            <v>95</v>
          </cell>
          <cell r="AQ28">
            <v>285</v>
          </cell>
          <cell r="AR28">
            <v>1323</v>
          </cell>
          <cell r="AS28">
            <v>99</v>
          </cell>
          <cell r="AT28">
            <v>79</v>
          </cell>
          <cell r="AU28">
            <v>546</v>
          </cell>
          <cell r="AV28">
            <v>585</v>
          </cell>
          <cell r="AW28">
            <v>1475</v>
          </cell>
          <cell r="AX28">
            <v>246</v>
          </cell>
          <cell r="AY28">
            <v>657</v>
          </cell>
          <cell r="AZ28">
            <v>517</v>
          </cell>
          <cell r="BA28">
            <v>365</v>
          </cell>
          <cell r="BB28">
            <v>551</v>
          </cell>
          <cell r="BC28">
            <v>102</v>
          </cell>
          <cell r="BD28">
            <v>248</v>
          </cell>
          <cell r="BE28">
            <v>511</v>
          </cell>
          <cell r="BF28">
            <v>127</v>
          </cell>
          <cell r="BG28">
            <v>117</v>
          </cell>
          <cell r="BH28">
            <v>384</v>
          </cell>
          <cell r="BI28">
            <v>297</v>
          </cell>
          <cell r="BJ28">
            <v>2755</v>
          </cell>
          <cell r="BK28">
            <v>616</v>
          </cell>
          <cell r="BL28">
            <v>53</v>
          </cell>
          <cell r="BM28">
            <v>80</v>
          </cell>
          <cell r="BN28">
            <v>205</v>
          </cell>
          <cell r="BO28">
            <v>156</v>
          </cell>
          <cell r="BP28">
            <v>952</v>
          </cell>
          <cell r="BQ28">
            <v>102</v>
          </cell>
          <cell r="BR28">
            <v>4153</v>
          </cell>
          <cell r="BS28">
            <v>1280</v>
          </cell>
          <cell r="BT28">
            <v>125</v>
          </cell>
          <cell r="BU28">
            <v>1059</v>
          </cell>
          <cell r="BV28">
            <v>330</v>
          </cell>
          <cell r="BW28">
            <v>66</v>
          </cell>
          <cell r="BX28">
            <v>52</v>
          </cell>
          <cell r="BY28">
            <v>25</v>
          </cell>
          <cell r="BZ28">
            <v>310</v>
          </cell>
          <cell r="CA28">
            <v>495</v>
          </cell>
          <cell r="CB28">
            <v>154</v>
          </cell>
          <cell r="CC28">
            <v>167</v>
          </cell>
        </row>
        <row r="29">
          <cell r="A29" t="str">
            <v>Underground circuit kms ofline</v>
          </cell>
          <cell r="B29" t="str">
            <v>KMCU</v>
          </cell>
          <cell r="C29">
            <v>2009</v>
          </cell>
          <cell r="D29">
            <v>4</v>
          </cell>
          <cell r="E29">
            <v>0</v>
          </cell>
          <cell r="F29">
            <v>177</v>
          </cell>
          <cell r="G29">
            <v>38</v>
          </cell>
          <cell r="H29">
            <v>275</v>
          </cell>
          <cell r="I29">
            <v>654</v>
          </cell>
          <cell r="J29">
            <v>397</v>
          </cell>
          <cell r="K29">
            <v>43</v>
          </cell>
          <cell r="L29">
            <v>69</v>
          </cell>
          <cell r="M29">
            <v>1</v>
          </cell>
          <cell r="N29">
            <v>227</v>
          </cell>
          <cell r="O29">
            <v>4</v>
          </cell>
          <cell r="P29">
            <v>125</v>
          </cell>
          <cell r="Q29">
            <v>12</v>
          </cell>
          <cell r="R29">
            <v>58</v>
          </cell>
          <cell r="S29">
            <v>3466</v>
          </cell>
          <cell r="T29">
            <v>414</v>
          </cell>
          <cell r="U29">
            <v>58</v>
          </cell>
          <cell r="V29">
            <v>11</v>
          </cell>
          <cell r="W29">
            <v>239</v>
          </cell>
          <cell r="X29">
            <v>92</v>
          </cell>
          <cell r="Y29">
            <v>8</v>
          </cell>
          <cell r="Z29">
            <v>213</v>
          </cell>
          <cell r="AA29">
            <v>33</v>
          </cell>
          <cell r="AB29">
            <v>636</v>
          </cell>
          <cell r="AC29">
            <v>88</v>
          </cell>
          <cell r="AD29">
            <v>481</v>
          </cell>
          <cell r="AE29">
            <v>11</v>
          </cell>
          <cell r="AF29">
            <v>1843</v>
          </cell>
          <cell r="AG29">
            <v>3</v>
          </cell>
          <cell r="AH29">
            <v>10</v>
          </cell>
          <cell r="AI29">
            <v>1959</v>
          </cell>
          <cell r="AJ29">
            <v>4259</v>
          </cell>
          <cell r="AK29">
            <v>2677</v>
          </cell>
          <cell r="AL29">
            <v>136</v>
          </cell>
          <cell r="AM29">
            <v>10</v>
          </cell>
          <cell r="AN29">
            <v>124</v>
          </cell>
          <cell r="AO29">
            <v>819</v>
          </cell>
          <cell r="AP29">
            <v>20</v>
          </cell>
          <cell r="AQ29">
            <v>65</v>
          </cell>
          <cell r="AR29">
            <v>1382</v>
          </cell>
          <cell r="AS29">
            <v>26</v>
          </cell>
          <cell r="AT29">
            <v>36</v>
          </cell>
          <cell r="AU29">
            <v>320</v>
          </cell>
          <cell r="AV29">
            <v>468</v>
          </cell>
          <cell r="AW29">
            <v>469</v>
          </cell>
          <cell r="AX29">
            <v>95</v>
          </cell>
          <cell r="AY29">
            <v>108</v>
          </cell>
          <cell r="AZ29">
            <v>99</v>
          </cell>
          <cell r="BA29">
            <v>5</v>
          </cell>
          <cell r="BB29">
            <v>877</v>
          </cell>
          <cell r="BC29">
            <v>71</v>
          </cell>
          <cell r="BD29">
            <v>59</v>
          </cell>
          <cell r="BE29">
            <v>439</v>
          </cell>
          <cell r="BF29">
            <v>19</v>
          </cell>
          <cell r="BG29">
            <v>11</v>
          </cell>
          <cell r="BH29">
            <v>166</v>
          </cell>
          <cell r="BI29">
            <v>16</v>
          </cell>
          <cell r="BJ29">
            <v>4926</v>
          </cell>
          <cell r="BK29">
            <v>116</v>
          </cell>
          <cell r="BL29">
            <v>2</v>
          </cell>
          <cell r="BM29">
            <v>9</v>
          </cell>
          <cell r="BN29">
            <v>6</v>
          </cell>
          <cell r="BO29">
            <v>87</v>
          </cell>
          <cell r="BP29">
            <v>234</v>
          </cell>
          <cell r="BQ29">
            <v>54</v>
          </cell>
          <cell r="BR29">
            <v>5641</v>
          </cell>
          <cell r="BS29">
            <v>921</v>
          </cell>
          <cell r="BT29">
            <v>111</v>
          </cell>
          <cell r="BU29">
            <v>482</v>
          </cell>
          <cell r="BV29">
            <v>113</v>
          </cell>
          <cell r="BW29">
            <v>10</v>
          </cell>
          <cell r="BX29">
            <v>13</v>
          </cell>
          <cell r="BY29">
            <v>11</v>
          </cell>
          <cell r="BZ29">
            <v>126</v>
          </cell>
          <cell r="CA29">
            <v>539</v>
          </cell>
          <cell r="CB29">
            <v>91</v>
          </cell>
          <cell r="CC29">
            <v>10</v>
          </cell>
        </row>
        <row r="30">
          <cell r="A30" t="str">
            <v>Circuit kilometers 3 phase</v>
          </cell>
          <cell r="B30" t="str">
            <v>KMC3</v>
          </cell>
          <cell r="C30">
            <v>2009</v>
          </cell>
          <cell r="D30">
            <v>442</v>
          </cell>
          <cell r="E30">
            <v>47</v>
          </cell>
          <cell r="F30">
            <v>411</v>
          </cell>
          <cell r="G30">
            <v>167</v>
          </cell>
          <cell r="H30">
            <v>230</v>
          </cell>
          <cell r="I30">
            <v>912</v>
          </cell>
          <cell r="J30">
            <v>432</v>
          </cell>
          <cell r="K30">
            <v>315</v>
          </cell>
          <cell r="L30">
            <v>69</v>
          </cell>
          <cell r="M30">
            <v>16</v>
          </cell>
          <cell r="N30">
            <v>519</v>
          </cell>
          <cell r="O30">
            <v>10</v>
          </cell>
          <cell r="P30">
            <v>167</v>
          </cell>
          <cell r="Q30">
            <v>12</v>
          </cell>
          <cell r="R30">
            <v>72</v>
          </cell>
          <cell r="S30">
            <v>3216</v>
          </cell>
          <cell r="T30">
            <v>588</v>
          </cell>
          <cell r="U30">
            <v>146</v>
          </cell>
          <cell r="V30">
            <v>31</v>
          </cell>
          <cell r="W30">
            <v>159</v>
          </cell>
          <cell r="X30">
            <v>148</v>
          </cell>
          <cell r="Y30">
            <v>48</v>
          </cell>
          <cell r="Z30">
            <v>547</v>
          </cell>
          <cell r="AA30">
            <v>86</v>
          </cell>
          <cell r="AB30">
            <v>480</v>
          </cell>
          <cell r="AC30">
            <v>608</v>
          </cell>
          <cell r="AD30">
            <v>403</v>
          </cell>
          <cell r="AE30">
            <v>27</v>
          </cell>
          <cell r="AF30">
            <v>1766</v>
          </cell>
          <cell r="AG30">
            <v>10</v>
          </cell>
          <cell r="AH30">
            <v>42</v>
          </cell>
          <cell r="AI30">
            <v>1190</v>
          </cell>
          <cell r="AJ30">
            <v>45559</v>
          </cell>
          <cell r="AK30">
            <v>2968</v>
          </cell>
          <cell r="AL30">
            <v>342</v>
          </cell>
          <cell r="AM30">
            <v>61</v>
          </cell>
          <cell r="AN30">
            <v>255</v>
          </cell>
          <cell r="AO30">
            <v>791</v>
          </cell>
          <cell r="AP30">
            <v>76</v>
          </cell>
          <cell r="AQ30">
            <v>169</v>
          </cell>
          <cell r="AR30">
            <v>1262</v>
          </cell>
          <cell r="AS30">
            <v>68</v>
          </cell>
          <cell r="AT30">
            <v>79</v>
          </cell>
          <cell r="AU30">
            <v>429</v>
          </cell>
          <cell r="AV30">
            <v>325</v>
          </cell>
          <cell r="AW30">
            <v>864</v>
          </cell>
          <cell r="AX30">
            <v>175</v>
          </cell>
          <cell r="AY30">
            <v>341</v>
          </cell>
          <cell r="AZ30">
            <v>367</v>
          </cell>
          <cell r="BA30">
            <v>200</v>
          </cell>
          <cell r="BB30">
            <v>737</v>
          </cell>
          <cell r="BC30">
            <v>96</v>
          </cell>
          <cell r="BD30">
            <v>225</v>
          </cell>
          <cell r="BE30">
            <v>354</v>
          </cell>
          <cell r="BF30">
            <v>92</v>
          </cell>
          <cell r="BG30">
            <v>84</v>
          </cell>
          <cell r="BH30">
            <v>345</v>
          </cell>
          <cell r="BI30">
            <v>176</v>
          </cell>
          <cell r="BJ30">
            <v>3622</v>
          </cell>
          <cell r="BK30">
            <v>458</v>
          </cell>
          <cell r="BL30">
            <v>34</v>
          </cell>
          <cell r="BM30">
            <v>45</v>
          </cell>
          <cell r="BN30">
            <v>72</v>
          </cell>
          <cell r="BO30">
            <v>141</v>
          </cell>
          <cell r="BP30">
            <v>631</v>
          </cell>
          <cell r="BQ30">
            <v>72</v>
          </cell>
          <cell r="BR30">
            <v>5981</v>
          </cell>
          <cell r="BS30">
            <v>1109</v>
          </cell>
          <cell r="BT30">
            <v>100</v>
          </cell>
          <cell r="BU30">
            <v>711</v>
          </cell>
          <cell r="BV30">
            <v>287</v>
          </cell>
          <cell r="BW30">
            <v>47</v>
          </cell>
          <cell r="BX30">
            <v>44</v>
          </cell>
          <cell r="BY30">
            <v>18</v>
          </cell>
          <cell r="BZ30">
            <v>245</v>
          </cell>
          <cell r="CA30">
            <v>468</v>
          </cell>
          <cell r="CB30">
            <v>161</v>
          </cell>
          <cell r="CC30">
            <v>106</v>
          </cell>
        </row>
        <row r="31">
          <cell r="A31" t="str">
            <v>Circuit kilometers 2 phase</v>
          </cell>
          <cell r="B31" t="str">
            <v>KMC2</v>
          </cell>
          <cell r="C31">
            <v>2009</v>
          </cell>
          <cell r="D31">
            <v>30</v>
          </cell>
          <cell r="E31">
            <v>0</v>
          </cell>
          <cell r="F31">
            <v>7</v>
          </cell>
          <cell r="G31">
            <v>8</v>
          </cell>
          <cell r="H31">
            <v>0</v>
          </cell>
          <cell r="I31">
            <v>0</v>
          </cell>
          <cell r="J31">
            <v>0</v>
          </cell>
          <cell r="K31">
            <v>88</v>
          </cell>
          <cell r="L31">
            <v>0</v>
          </cell>
          <cell r="M31">
            <v>2</v>
          </cell>
          <cell r="N31">
            <v>2</v>
          </cell>
          <cell r="O31">
            <v>1</v>
          </cell>
          <cell r="P31">
            <v>5</v>
          </cell>
          <cell r="Q31">
            <v>1</v>
          </cell>
          <cell r="R31">
            <v>2</v>
          </cell>
          <cell r="S31">
            <v>102</v>
          </cell>
          <cell r="T31">
            <v>25</v>
          </cell>
          <cell r="U31">
            <v>2</v>
          </cell>
          <cell r="V31">
            <v>1</v>
          </cell>
          <cell r="W31">
            <v>0</v>
          </cell>
          <cell r="X31">
            <v>5</v>
          </cell>
          <cell r="Y31">
            <v>8</v>
          </cell>
          <cell r="Z31">
            <v>0</v>
          </cell>
          <cell r="AA31">
            <v>0</v>
          </cell>
          <cell r="AB31">
            <v>0</v>
          </cell>
          <cell r="AC31">
            <v>30</v>
          </cell>
          <cell r="AD31">
            <v>0</v>
          </cell>
          <cell r="AE31">
            <v>0</v>
          </cell>
          <cell r="AF31">
            <v>20</v>
          </cell>
          <cell r="AG31">
            <v>2</v>
          </cell>
          <cell r="AH31">
            <v>0</v>
          </cell>
          <cell r="AI31">
            <v>21</v>
          </cell>
          <cell r="AJ31">
            <v>3610</v>
          </cell>
          <cell r="AK31">
            <v>169</v>
          </cell>
          <cell r="AL31">
            <v>9</v>
          </cell>
          <cell r="AM31">
            <v>0</v>
          </cell>
          <cell r="AN31">
            <v>0</v>
          </cell>
          <cell r="AO31">
            <v>0</v>
          </cell>
          <cell r="AP31">
            <v>0</v>
          </cell>
          <cell r="AQ31">
            <v>9</v>
          </cell>
          <cell r="AR31">
            <v>0</v>
          </cell>
          <cell r="AS31">
            <v>1</v>
          </cell>
          <cell r="AT31">
            <v>0</v>
          </cell>
          <cell r="AU31">
            <v>25</v>
          </cell>
          <cell r="AV31">
            <v>7</v>
          </cell>
          <cell r="AW31">
            <v>2</v>
          </cell>
          <cell r="AX31">
            <v>1</v>
          </cell>
          <cell r="AY31">
            <v>0</v>
          </cell>
          <cell r="AZ31">
            <v>0</v>
          </cell>
          <cell r="BA31">
            <v>0</v>
          </cell>
          <cell r="BB31">
            <v>0</v>
          </cell>
          <cell r="BC31">
            <v>0</v>
          </cell>
          <cell r="BD31">
            <v>6</v>
          </cell>
          <cell r="BE31">
            <v>0</v>
          </cell>
          <cell r="BF31">
            <v>1</v>
          </cell>
          <cell r="BG31">
            <v>0</v>
          </cell>
          <cell r="BH31">
            <v>8</v>
          </cell>
          <cell r="BI31">
            <v>0</v>
          </cell>
          <cell r="BJ31">
            <v>79</v>
          </cell>
          <cell r="BK31">
            <v>10</v>
          </cell>
          <cell r="BL31">
            <v>1</v>
          </cell>
          <cell r="BM31">
            <v>0</v>
          </cell>
          <cell r="BN31">
            <v>0</v>
          </cell>
          <cell r="BO31">
            <v>12</v>
          </cell>
          <cell r="BP31">
            <v>0</v>
          </cell>
          <cell r="BQ31">
            <v>0</v>
          </cell>
          <cell r="BR31">
            <v>60</v>
          </cell>
          <cell r="BS31">
            <v>22</v>
          </cell>
          <cell r="BT31">
            <v>9</v>
          </cell>
          <cell r="BU31">
            <v>7</v>
          </cell>
          <cell r="BV31">
            <v>0</v>
          </cell>
          <cell r="BW31">
            <v>0</v>
          </cell>
          <cell r="BX31">
            <v>0</v>
          </cell>
          <cell r="BY31">
            <v>0</v>
          </cell>
          <cell r="BZ31">
            <v>4</v>
          </cell>
          <cell r="CA31">
            <v>11</v>
          </cell>
          <cell r="CB31">
            <v>3</v>
          </cell>
          <cell r="CC31">
            <v>9</v>
          </cell>
        </row>
        <row r="32">
          <cell r="A32" t="str">
            <v>Circuit kms single phase</v>
          </cell>
          <cell r="B32" t="str">
            <v>KMC1</v>
          </cell>
          <cell r="C32">
            <v>2009</v>
          </cell>
          <cell r="D32">
            <v>1373</v>
          </cell>
          <cell r="E32">
            <v>45</v>
          </cell>
          <cell r="F32">
            <v>333</v>
          </cell>
          <cell r="G32">
            <v>145</v>
          </cell>
          <cell r="H32">
            <v>311</v>
          </cell>
          <cell r="I32">
            <v>806</v>
          </cell>
          <cell r="J32">
            <v>673</v>
          </cell>
          <cell r="K32">
            <v>119</v>
          </cell>
          <cell r="L32">
            <v>77</v>
          </cell>
          <cell r="M32">
            <v>9</v>
          </cell>
          <cell r="N32">
            <v>289</v>
          </cell>
          <cell r="O32">
            <v>10</v>
          </cell>
          <cell r="P32">
            <v>166</v>
          </cell>
          <cell r="Q32">
            <v>14</v>
          </cell>
          <cell r="R32">
            <v>73</v>
          </cell>
          <cell r="S32">
            <v>1982</v>
          </cell>
          <cell r="T32">
            <v>514</v>
          </cell>
          <cell r="U32">
            <v>122</v>
          </cell>
          <cell r="V32">
            <v>105</v>
          </cell>
          <cell r="W32">
            <v>299</v>
          </cell>
          <cell r="X32">
            <v>123</v>
          </cell>
          <cell r="Y32">
            <v>28</v>
          </cell>
          <cell r="Z32">
            <v>397</v>
          </cell>
          <cell r="AA32">
            <v>86</v>
          </cell>
          <cell r="AB32">
            <v>583</v>
          </cell>
          <cell r="AC32">
            <v>1093</v>
          </cell>
          <cell r="AD32">
            <v>960</v>
          </cell>
          <cell r="AE32">
            <v>41</v>
          </cell>
          <cell r="AF32">
            <v>1577</v>
          </cell>
          <cell r="AG32">
            <v>9</v>
          </cell>
          <cell r="AH32">
            <v>24</v>
          </cell>
          <cell r="AI32">
            <v>1567</v>
          </cell>
          <cell r="AJ32">
            <v>71581</v>
          </cell>
          <cell r="AK32">
            <v>2250</v>
          </cell>
          <cell r="AL32">
            <v>390</v>
          </cell>
          <cell r="AM32">
            <v>37</v>
          </cell>
          <cell r="AN32">
            <v>102</v>
          </cell>
          <cell r="AO32">
            <v>1063</v>
          </cell>
          <cell r="AP32">
            <v>39</v>
          </cell>
          <cell r="AQ32">
            <v>172</v>
          </cell>
          <cell r="AR32">
            <v>1443</v>
          </cell>
          <cell r="AS32">
            <v>56</v>
          </cell>
          <cell r="AT32">
            <v>36</v>
          </cell>
          <cell r="AU32">
            <v>412</v>
          </cell>
          <cell r="AV32">
            <v>721</v>
          </cell>
          <cell r="AW32">
            <v>1078</v>
          </cell>
          <cell r="AX32">
            <v>165</v>
          </cell>
          <cell r="AY32">
            <v>424</v>
          </cell>
          <cell r="AZ32">
            <v>249</v>
          </cell>
          <cell r="BA32">
            <v>170</v>
          </cell>
          <cell r="BB32">
            <v>691</v>
          </cell>
          <cell r="BC32">
            <v>77</v>
          </cell>
          <cell r="BD32">
            <v>76</v>
          </cell>
          <cell r="BE32">
            <v>596</v>
          </cell>
          <cell r="BF32">
            <v>53</v>
          </cell>
          <cell r="BG32">
            <v>44</v>
          </cell>
          <cell r="BH32">
            <v>197</v>
          </cell>
          <cell r="BI32">
            <v>137</v>
          </cell>
          <cell r="BJ32">
            <v>3980</v>
          </cell>
          <cell r="BK32">
            <v>264</v>
          </cell>
          <cell r="BL32">
            <v>20</v>
          </cell>
          <cell r="BM32">
            <v>44</v>
          </cell>
          <cell r="BN32">
            <v>139</v>
          </cell>
          <cell r="BO32">
            <v>90</v>
          </cell>
          <cell r="BP32">
            <v>555</v>
          </cell>
          <cell r="BQ32">
            <v>84</v>
          </cell>
          <cell r="BR32">
            <v>3753</v>
          </cell>
          <cell r="BS32">
            <v>1070</v>
          </cell>
          <cell r="BT32">
            <v>127</v>
          </cell>
          <cell r="BU32">
            <v>823</v>
          </cell>
          <cell r="BV32">
            <v>156</v>
          </cell>
          <cell r="BW32">
            <v>29</v>
          </cell>
          <cell r="BX32">
            <v>21</v>
          </cell>
          <cell r="BY32">
            <v>18</v>
          </cell>
          <cell r="BZ32">
            <v>187</v>
          </cell>
          <cell r="CA32">
            <v>555</v>
          </cell>
          <cell r="CB32">
            <v>81</v>
          </cell>
          <cell r="CC32">
            <v>62</v>
          </cell>
        </row>
        <row r="33">
          <cell r="A33" t="str">
            <v>No transmission transformers</v>
          </cell>
          <cell r="B33" t="str">
            <v>NTRST</v>
          </cell>
          <cell r="C33">
            <v>2009</v>
          </cell>
          <cell r="D33">
            <v>0</v>
          </cell>
          <cell r="E33">
            <v>0</v>
          </cell>
          <cell r="F33">
            <v>0</v>
          </cell>
          <cell r="G33">
            <v>2</v>
          </cell>
          <cell r="H33">
            <v>1</v>
          </cell>
          <cell r="I33">
            <v>0</v>
          </cell>
          <cell r="J33">
            <v>2</v>
          </cell>
          <cell r="K33">
            <v>2</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243</v>
          </cell>
          <cell r="AK33">
            <v>25</v>
          </cell>
          <cell r="AL33">
            <v>0</v>
          </cell>
          <cell r="AM33">
            <v>3</v>
          </cell>
          <cell r="AN33">
            <v>0</v>
          </cell>
          <cell r="AO33">
            <v>16</v>
          </cell>
          <cell r="AP33">
            <v>0</v>
          </cell>
          <cell r="AQ33">
            <v>0</v>
          </cell>
          <cell r="AR33">
            <v>0</v>
          </cell>
          <cell r="AS33">
            <v>0</v>
          </cell>
          <cell r="AT33">
            <v>0</v>
          </cell>
          <cell r="AU33">
            <v>0</v>
          </cell>
          <cell r="AV33">
            <v>0</v>
          </cell>
          <cell r="AW33">
            <v>14</v>
          </cell>
          <cell r="AX33">
            <v>3</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2009</v>
          </cell>
          <cell r="D34">
            <v>26</v>
          </cell>
          <cell r="E34">
            <v>4</v>
          </cell>
          <cell r="F34">
            <v>20</v>
          </cell>
          <cell r="G34">
            <v>3</v>
          </cell>
          <cell r="H34">
            <v>0</v>
          </cell>
          <cell r="I34">
            <v>44</v>
          </cell>
          <cell r="J34">
            <v>2</v>
          </cell>
          <cell r="K34">
            <v>8</v>
          </cell>
          <cell r="L34">
            <v>6</v>
          </cell>
          <cell r="M34">
            <v>0</v>
          </cell>
          <cell r="N34">
            <v>0</v>
          </cell>
          <cell r="O34">
            <v>4</v>
          </cell>
          <cell r="P34">
            <v>13</v>
          </cell>
          <cell r="Q34">
            <v>1</v>
          </cell>
          <cell r="R34">
            <v>0</v>
          </cell>
          <cell r="S34">
            <v>119</v>
          </cell>
          <cell r="T34">
            <v>15</v>
          </cell>
          <cell r="U34">
            <v>10</v>
          </cell>
          <cell r="V34">
            <v>0</v>
          </cell>
          <cell r="W34">
            <v>4</v>
          </cell>
          <cell r="X34">
            <v>6</v>
          </cell>
          <cell r="Y34">
            <v>0</v>
          </cell>
          <cell r="Z34">
            <v>45</v>
          </cell>
          <cell r="AA34">
            <v>0</v>
          </cell>
          <cell r="AB34">
            <v>2</v>
          </cell>
          <cell r="AC34">
            <v>5</v>
          </cell>
          <cell r="AD34">
            <v>12</v>
          </cell>
          <cell r="AE34">
            <v>0</v>
          </cell>
          <cell r="AF34">
            <v>8</v>
          </cell>
          <cell r="AG34">
            <v>0</v>
          </cell>
          <cell r="AH34">
            <v>3</v>
          </cell>
          <cell r="AI34">
            <v>18</v>
          </cell>
          <cell r="AJ34">
            <v>1441</v>
          </cell>
          <cell r="AK34">
            <v>141</v>
          </cell>
          <cell r="AL34">
            <v>16</v>
          </cell>
          <cell r="AM34">
            <v>0</v>
          </cell>
          <cell r="AN34">
            <v>37</v>
          </cell>
          <cell r="AO34">
            <v>7</v>
          </cell>
          <cell r="AP34">
            <v>8</v>
          </cell>
          <cell r="AQ34">
            <v>7</v>
          </cell>
          <cell r="AR34">
            <v>54</v>
          </cell>
          <cell r="AS34">
            <v>0</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33</v>
          </cell>
          <cell r="BL34">
            <v>5</v>
          </cell>
          <cell r="BM34">
            <v>9</v>
          </cell>
          <cell r="BN34">
            <v>0</v>
          </cell>
          <cell r="BO34">
            <v>0</v>
          </cell>
          <cell r="BP34">
            <v>29</v>
          </cell>
          <cell r="BQ34">
            <v>3</v>
          </cell>
          <cell r="BR34">
            <v>0</v>
          </cell>
          <cell r="BS34">
            <v>66</v>
          </cell>
          <cell r="BT34">
            <v>5</v>
          </cell>
          <cell r="BU34">
            <v>21</v>
          </cell>
          <cell r="BV34">
            <v>584</v>
          </cell>
          <cell r="BW34">
            <v>6</v>
          </cell>
          <cell r="BX34">
            <v>4</v>
          </cell>
          <cell r="BY34">
            <v>1</v>
          </cell>
          <cell r="BZ34">
            <v>27</v>
          </cell>
          <cell r="CA34">
            <v>28</v>
          </cell>
          <cell r="CB34">
            <v>0</v>
          </cell>
          <cell r="CC34">
            <v>8</v>
          </cell>
        </row>
        <row r="35">
          <cell r="A35" t="str">
            <v>No distribution transformers</v>
          </cell>
          <cell r="B35" t="str">
            <v>NTRFD</v>
          </cell>
          <cell r="C35">
            <v>2009</v>
          </cell>
          <cell r="D35">
            <v>4731</v>
          </cell>
          <cell r="E35">
            <v>324</v>
          </cell>
          <cell r="F35">
            <v>5316</v>
          </cell>
          <cell r="G35">
            <v>3300</v>
          </cell>
          <cell r="H35">
            <v>3708</v>
          </cell>
          <cell r="I35">
            <v>9182</v>
          </cell>
          <cell r="J35">
            <v>7027</v>
          </cell>
          <cell r="K35">
            <v>2338</v>
          </cell>
          <cell r="L35">
            <v>836</v>
          </cell>
          <cell r="M35">
            <v>1</v>
          </cell>
          <cell r="N35">
            <v>3477</v>
          </cell>
          <cell r="O35">
            <v>239</v>
          </cell>
          <cell r="P35">
            <v>2118</v>
          </cell>
          <cell r="Q35">
            <v>290</v>
          </cell>
          <cell r="R35">
            <v>1545</v>
          </cell>
          <cell r="S35">
            <v>25399</v>
          </cell>
          <cell r="T35">
            <v>8244</v>
          </cell>
          <cell r="U35">
            <v>1563</v>
          </cell>
          <cell r="V35">
            <v>730</v>
          </cell>
          <cell r="W35">
            <v>3096</v>
          </cell>
          <cell r="X35">
            <v>2425</v>
          </cell>
          <cell r="Y35">
            <v>804</v>
          </cell>
          <cell r="Z35">
            <v>5605</v>
          </cell>
          <cell r="AA35">
            <v>1426</v>
          </cell>
          <cell r="AB35">
            <v>5798</v>
          </cell>
          <cell r="AC35">
            <v>7424</v>
          </cell>
          <cell r="AD35">
            <v>3686</v>
          </cell>
          <cell r="AE35">
            <v>60</v>
          </cell>
          <cell r="AF35">
            <v>23832</v>
          </cell>
          <cell r="AG35">
            <v>180</v>
          </cell>
          <cell r="AH35">
            <v>742</v>
          </cell>
          <cell r="AI35">
            <v>15125</v>
          </cell>
          <cell r="AJ35">
            <v>90</v>
          </cell>
          <cell r="AK35">
            <v>40525</v>
          </cell>
          <cell r="AL35">
            <v>3248</v>
          </cell>
          <cell r="AM35">
            <v>688</v>
          </cell>
          <cell r="AN35">
            <v>2063</v>
          </cell>
          <cell r="AO35">
            <v>10220</v>
          </cell>
          <cell r="AP35">
            <v>980</v>
          </cell>
          <cell r="AQ35">
            <v>2137</v>
          </cell>
          <cell r="AR35">
            <v>15030</v>
          </cell>
          <cell r="AS35">
            <v>1273</v>
          </cell>
          <cell r="AT35">
            <v>1235</v>
          </cell>
          <cell r="AU35">
            <v>4900</v>
          </cell>
          <cell r="AV35">
            <v>4120</v>
          </cell>
          <cell r="AW35">
            <v>9377</v>
          </cell>
          <cell r="AX35">
            <v>1757</v>
          </cell>
          <cell r="AY35">
            <v>4469</v>
          </cell>
          <cell r="AZ35">
            <v>3971</v>
          </cell>
          <cell r="BA35">
            <v>0</v>
          </cell>
          <cell r="BB35">
            <v>8239</v>
          </cell>
          <cell r="BC35">
            <v>1366</v>
          </cell>
          <cell r="BD35">
            <v>1765</v>
          </cell>
          <cell r="BE35">
            <v>6427</v>
          </cell>
          <cell r="BF35">
            <v>1592</v>
          </cell>
          <cell r="BG35">
            <v>687</v>
          </cell>
          <cell r="BH35">
            <v>3774</v>
          </cell>
          <cell r="BI35">
            <v>2047</v>
          </cell>
          <cell r="BJ35">
            <v>40878</v>
          </cell>
          <cell r="BK35">
            <v>6039</v>
          </cell>
          <cell r="BL35">
            <v>645</v>
          </cell>
          <cell r="BM35">
            <v>973</v>
          </cell>
          <cell r="BN35">
            <v>831</v>
          </cell>
          <cell r="BO35">
            <v>1380</v>
          </cell>
          <cell r="BP35">
            <v>7039</v>
          </cell>
          <cell r="BQ35">
            <v>850</v>
          </cell>
          <cell r="BR35">
            <v>61325</v>
          </cell>
          <cell r="BS35">
            <v>16240</v>
          </cell>
          <cell r="BT35">
            <v>1456</v>
          </cell>
          <cell r="BU35">
            <v>7513</v>
          </cell>
          <cell r="BV35">
            <v>1967</v>
          </cell>
          <cell r="BW35">
            <v>676</v>
          </cell>
          <cell r="BX35">
            <v>433</v>
          </cell>
          <cell r="BY35">
            <v>240</v>
          </cell>
          <cell r="BZ35">
            <v>2989</v>
          </cell>
          <cell r="CA35">
            <v>5263</v>
          </cell>
          <cell r="CB35">
            <v>1618</v>
          </cell>
          <cell r="CC35">
            <v>769</v>
          </cell>
        </row>
        <row r="36">
          <cell r="A36" t="str">
            <v>Utility average load factor</v>
          </cell>
          <cell r="B36" t="str">
            <v>LF</v>
          </cell>
          <cell r="C36">
            <v>2009</v>
          </cell>
          <cell r="D36">
            <v>75</v>
          </cell>
          <cell r="E36">
            <v>73</v>
          </cell>
          <cell r="F36">
            <v>0</v>
          </cell>
          <cell r="G36">
            <v>0</v>
          </cell>
          <cell r="H36">
            <v>72</v>
          </cell>
          <cell r="I36">
            <v>71</v>
          </cell>
          <cell r="J36">
            <v>71</v>
          </cell>
          <cell r="K36">
            <v>73</v>
          </cell>
          <cell r="L36">
            <v>70</v>
          </cell>
          <cell r="M36">
            <v>74</v>
          </cell>
          <cell r="N36">
            <v>0</v>
          </cell>
          <cell r="O36">
            <v>68</v>
          </cell>
          <cell r="P36">
            <v>77</v>
          </cell>
          <cell r="Q36">
            <v>66</v>
          </cell>
          <cell r="R36">
            <v>0</v>
          </cell>
          <cell r="S36">
            <v>74</v>
          </cell>
          <cell r="T36">
            <v>58</v>
          </cell>
          <cell r="U36">
            <v>74</v>
          </cell>
          <cell r="V36">
            <v>72</v>
          </cell>
          <cell r="W36">
            <v>66</v>
          </cell>
          <cell r="X36">
            <v>89</v>
          </cell>
          <cell r="Y36">
            <v>72</v>
          </cell>
          <cell r="Z36">
            <v>73</v>
          </cell>
          <cell r="AA36">
            <v>69</v>
          </cell>
          <cell r="AB36">
            <v>74</v>
          </cell>
          <cell r="AC36">
            <v>47</v>
          </cell>
          <cell r="AD36">
            <v>70</v>
          </cell>
          <cell r="AE36">
            <v>69</v>
          </cell>
          <cell r="AF36">
            <v>65</v>
          </cell>
          <cell r="AG36">
            <v>68</v>
          </cell>
          <cell r="AH36">
            <v>80</v>
          </cell>
          <cell r="AI36">
            <v>73</v>
          </cell>
          <cell r="AJ36">
            <v>80</v>
          </cell>
          <cell r="AK36">
            <v>76</v>
          </cell>
          <cell r="AL36">
            <v>55</v>
          </cell>
          <cell r="AM36">
            <v>69</v>
          </cell>
          <cell r="AN36">
            <v>81</v>
          </cell>
          <cell r="AO36">
            <v>71</v>
          </cell>
          <cell r="AP36">
            <v>76</v>
          </cell>
          <cell r="AQ36">
            <v>73</v>
          </cell>
          <cell r="AR36">
            <v>73</v>
          </cell>
          <cell r="AS36">
            <v>0</v>
          </cell>
          <cell r="AT36">
            <v>71</v>
          </cell>
          <cell r="AU36">
            <v>71</v>
          </cell>
          <cell r="AV36">
            <v>70</v>
          </cell>
          <cell r="AW36">
            <v>0</v>
          </cell>
          <cell r="AX36">
            <v>71</v>
          </cell>
          <cell r="AY36">
            <v>71</v>
          </cell>
          <cell r="AZ36">
            <v>74</v>
          </cell>
          <cell r="BA36">
            <v>72</v>
          </cell>
          <cell r="BB36">
            <v>70</v>
          </cell>
          <cell r="BC36">
            <v>72</v>
          </cell>
          <cell r="BD36">
            <v>77</v>
          </cell>
          <cell r="BE36">
            <v>61</v>
          </cell>
          <cell r="BF36">
            <v>76</v>
          </cell>
          <cell r="BG36">
            <v>70208</v>
          </cell>
          <cell r="BH36">
            <v>72</v>
          </cell>
          <cell r="BI36">
            <v>67</v>
          </cell>
          <cell r="BJ36">
            <v>0</v>
          </cell>
          <cell r="BK36">
            <v>76</v>
          </cell>
          <cell r="BL36">
            <v>70</v>
          </cell>
          <cell r="BM36">
            <v>0</v>
          </cell>
          <cell r="BN36">
            <v>8</v>
          </cell>
          <cell r="BO36">
            <v>55</v>
          </cell>
          <cell r="BP36">
            <v>72</v>
          </cell>
          <cell r="BQ36">
            <v>63</v>
          </cell>
          <cell r="BR36">
            <v>75</v>
          </cell>
          <cell r="BS36">
            <v>74</v>
          </cell>
          <cell r="BT36">
            <v>68</v>
          </cell>
          <cell r="BU36">
            <v>72</v>
          </cell>
          <cell r="BV36">
            <v>68</v>
          </cell>
          <cell r="BW36">
            <v>87</v>
          </cell>
          <cell r="BX36">
            <v>69</v>
          </cell>
          <cell r="BY36">
            <v>69</v>
          </cell>
          <cell r="BZ36">
            <v>70</v>
          </cell>
          <cell r="CA36">
            <v>70</v>
          </cell>
          <cell r="CB36">
            <v>71</v>
          </cell>
          <cell r="CC36">
            <v>71</v>
          </cell>
        </row>
      </sheetData>
      <sheetData sheetId="10" refreshError="1">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Plant Additions</v>
          </cell>
          <cell r="B6" t="str">
            <v>PADD</v>
          </cell>
          <cell r="C6">
            <v>2010</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2010</v>
          </cell>
          <cell r="D7">
            <v>8598870.7899999991</v>
          </cell>
          <cell r="E7">
            <v>996788.56</v>
          </cell>
          <cell r="F7">
            <v>9730968</v>
          </cell>
          <cell r="G7">
            <v>3957500.71</v>
          </cell>
          <cell r="H7">
            <v>7272121.71</v>
          </cell>
          <cell r="I7">
            <v>13328484.169999998</v>
          </cell>
          <cell r="J7">
            <v>9461377</v>
          </cell>
          <cell r="K7">
            <v>5280016.55</v>
          </cell>
          <cell r="L7">
            <v>1717989.72</v>
          </cell>
          <cell r="M7">
            <v>538994.71</v>
          </cell>
          <cell r="N7">
            <v>6405968.0200000005</v>
          </cell>
          <cell r="O7">
            <v>560534.21</v>
          </cell>
          <cell r="P7">
            <v>3893046.62</v>
          </cell>
          <cell r="Q7">
            <v>467288.44</v>
          </cell>
          <cell r="R7">
            <v>1846948.9100000001</v>
          </cell>
          <cell r="S7">
            <v>41013152</v>
          </cell>
          <cell r="T7">
            <v>21901492</v>
          </cell>
          <cell r="U7">
            <v>4314759.13</v>
          </cell>
          <cell r="V7">
            <v>1022964.72</v>
          </cell>
          <cell r="W7">
            <v>5331806.92</v>
          </cell>
          <cell r="X7">
            <v>3794085.2299999995</v>
          </cell>
          <cell r="Y7">
            <v>1291457.74</v>
          </cell>
          <cell r="Z7">
            <v>7458366</v>
          </cell>
          <cell r="AA7">
            <v>1776406.4500000002</v>
          </cell>
          <cell r="AB7">
            <v>9651809.4299999997</v>
          </cell>
          <cell r="AC7">
            <v>6663867.6100000003</v>
          </cell>
          <cell r="AD7">
            <v>4289387</v>
          </cell>
          <cell r="AE7">
            <v>792456.31</v>
          </cell>
          <cell r="AF7">
            <v>38387799.369999997</v>
          </cell>
          <cell r="AG7">
            <v>289718.12</v>
          </cell>
          <cell r="AH7">
            <v>826059.21000000008</v>
          </cell>
          <cell r="AI7">
            <v>18169292.330000002</v>
          </cell>
          <cell r="AJ7">
            <v>521315480.45999998</v>
          </cell>
          <cell r="AK7">
            <v>52735883.82</v>
          </cell>
          <cell r="AL7">
            <v>3773429.6</v>
          </cell>
          <cell r="AM7">
            <v>1678526.65</v>
          </cell>
          <cell r="AN7">
            <v>5645427</v>
          </cell>
          <cell r="AO7">
            <v>12417649.240000002</v>
          </cell>
          <cell r="AP7">
            <v>2024634.71</v>
          </cell>
          <cell r="AQ7">
            <v>3069356.2800000003</v>
          </cell>
          <cell r="AR7">
            <v>28745974.459999997</v>
          </cell>
          <cell r="AS7">
            <v>1674027.1500000001</v>
          </cell>
          <cell r="AT7">
            <v>1767856.78</v>
          </cell>
          <cell r="AU7">
            <v>5646935.3799999999</v>
          </cell>
          <cell r="AV7">
            <v>6675646.8399999999</v>
          </cell>
          <cell r="AW7">
            <v>13635375.949999999</v>
          </cell>
          <cell r="AX7">
            <v>1717408.27</v>
          </cell>
          <cell r="AY7">
            <v>4758272.59</v>
          </cell>
          <cell r="AZ7">
            <v>4809999.0699999994</v>
          </cell>
          <cell r="BA7">
            <v>2016622.79</v>
          </cell>
          <cell r="BB7">
            <v>10808516.199999999</v>
          </cell>
          <cell r="BC7">
            <v>2552190</v>
          </cell>
          <cell r="BD7">
            <v>4093750.7700000005</v>
          </cell>
          <cell r="BE7">
            <v>8362787</v>
          </cell>
          <cell r="BF7">
            <v>2258616.5900000003</v>
          </cell>
          <cell r="BG7">
            <v>1204457.8900000001</v>
          </cell>
          <cell r="BH7">
            <v>6012831.1399999997</v>
          </cell>
          <cell r="BI7">
            <v>3482766.62</v>
          </cell>
          <cell r="BJ7">
            <v>52489479.329999998</v>
          </cell>
          <cell r="BK7">
            <v>8173362.2799999993</v>
          </cell>
          <cell r="BL7">
            <v>961010.86999999988</v>
          </cell>
          <cell r="BM7">
            <v>1606958.0300000003</v>
          </cell>
          <cell r="BN7">
            <v>1133633.6599999999</v>
          </cell>
          <cell r="BO7">
            <v>3215894.01</v>
          </cell>
          <cell r="BP7">
            <v>12039742.83</v>
          </cell>
          <cell r="BQ7">
            <v>2123372.86</v>
          </cell>
          <cell r="BR7">
            <v>198472526.64000002</v>
          </cell>
          <cell r="BS7">
            <v>19398340</v>
          </cell>
          <cell r="BT7">
            <v>2063960.5099999998</v>
          </cell>
          <cell r="BU7">
            <v>9402820.9299999997</v>
          </cell>
          <cell r="BV7">
            <v>4588247</v>
          </cell>
          <cell r="BW7">
            <v>1233490.7</v>
          </cell>
          <cell r="BX7">
            <v>1283309</v>
          </cell>
          <cell r="BY7">
            <v>955783.70000000007</v>
          </cell>
          <cell r="BZ7">
            <v>4216845.8899999997</v>
          </cell>
          <cell r="CA7">
            <v>8463452.6000000015</v>
          </cell>
          <cell r="CB7">
            <v>3470619.95</v>
          </cell>
          <cell r="CC7">
            <v>0</v>
          </cell>
        </row>
        <row r="8">
          <cell r="A8" t="str">
            <v>Income Taxes</v>
          </cell>
          <cell r="B8" t="str">
            <v>CTAXINC</v>
          </cell>
          <cell r="C8">
            <v>2010</v>
          </cell>
          <cell r="D8">
            <v>597386</v>
          </cell>
          <cell r="E8">
            <v>-75522</v>
          </cell>
          <cell r="F8">
            <v>906000</v>
          </cell>
          <cell r="G8">
            <v>397345</v>
          </cell>
          <cell r="H8">
            <v>1606928</v>
          </cell>
          <cell r="I8">
            <v>1567502.42</v>
          </cell>
          <cell r="J8">
            <v>1429942</v>
          </cell>
          <cell r="K8">
            <v>271557.21999999997</v>
          </cell>
          <cell r="L8">
            <v>-120185</v>
          </cell>
          <cell r="M8">
            <v>0</v>
          </cell>
          <cell r="N8">
            <v>1087446</v>
          </cell>
          <cell r="O8">
            <v>0</v>
          </cell>
          <cell r="P8">
            <v>96378</v>
          </cell>
          <cell r="Q8">
            <v>15856</v>
          </cell>
          <cell r="R8">
            <v>580220</v>
          </cell>
          <cell r="S8">
            <v>7206255</v>
          </cell>
          <cell r="T8">
            <v>2187812</v>
          </cell>
          <cell r="U8">
            <v>176000</v>
          </cell>
          <cell r="V8">
            <v>13078</v>
          </cell>
          <cell r="W8">
            <v>422027</v>
          </cell>
          <cell r="X8">
            <v>723000</v>
          </cell>
          <cell r="Y8">
            <v>-8780</v>
          </cell>
          <cell r="Z8">
            <v>1491956</v>
          </cell>
          <cell r="AA8">
            <v>180390.91</v>
          </cell>
          <cell r="AB8">
            <v>2079364.04</v>
          </cell>
          <cell r="AC8">
            <v>1233049</v>
          </cell>
          <cell r="AD8">
            <v>558014</v>
          </cell>
          <cell r="AE8">
            <v>-9650</v>
          </cell>
          <cell r="AF8">
            <v>5717506</v>
          </cell>
          <cell r="AG8">
            <v>-4934</v>
          </cell>
          <cell r="AH8">
            <v>127260</v>
          </cell>
          <cell r="AI8">
            <v>4678095.5199999996</v>
          </cell>
          <cell r="AJ8">
            <v>7983018.79</v>
          </cell>
          <cell r="AK8">
            <v>13316081</v>
          </cell>
          <cell r="AL8">
            <v>627000</v>
          </cell>
          <cell r="AM8">
            <v>-10043</v>
          </cell>
          <cell r="AN8">
            <v>256556</v>
          </cell>
          <cell r="AO8">
            <v>2193378.2200000002</v>
          </cell>
          <cell r="AP8">
            <v>294247</v>
          </cell>
          <cell r="AQ8">
            <v>52847</v>
          </cell>
          <cell r="AR8">
            <v>2535544</v>
          </cell>
          <cell r="AS8">
            <v>227105</v>
          </cell>
          <cell r="AT8">
            <v>85807</v>
          </cell>
          <cell r="AU8">
            <v>503575</v>
          </cell>
          <cell r="AV8">
            <v>1040513.78</v>
          </cell>
          <cell r="AW8">
            <v>1597691.81</v>
          </cell>
          <cell r="AX8">
            <v>320463</v>
          </cell>
          <cell r="AY8">
            <v>531000</v>
          </cell>
          <cell r="AZ8">
            <v>734285</v>
          </cell>
          <cell r="BA8">
            <v>32483</v>
          </cell>
          <cell r="BB8">
            <v>1673240</v>
          </cell>
          <cell r="BC8">
            <v>285235</v>
          </cell>
          <cell r="BD8">
            <v>624000</v>
          </cell>
          <cell r="BE8">
            <v>1885201</v>
          </cell>
          <cell r="BF8">
            <v>29695</v>
          </cell>
          <cell r="BG8">
            <v>-27051</v>
          </cell>
          <cell r="BH8">
            <v>1217103.05</v>
          </cell>
          <cell r="BI8">
            <v>27046.639999999999</v>
          </cell>
          <cell r="BJ8">
            <v>380062.26</v>
          </cell>
          <cell r="BK8">
            <v>445000</v>
          </cell>
          <cell r="BL8">
            <v>6960</v>
          </cell>
          <cell r="BM8">
            <v>-1415</v>
          </cell>
          <cell r="BN8">
            <v>12408.59</v>
          </cell>
          <cell r="BO8">
            <v>407059.68</v>
          </cell>
          <cell r="BP8">
            <v>253500</v>
          </cell>
          <cell r="BQ8">
            <v>83488</v>
          </cell>
          <cell r="BR8">
            <v>23945794</v>
          </cell>
          <cell r="BS8">
            <v>3249262</v>
          </cell>
          <cell r="BT8">
            <v>190576.14</v>
          </cell>
          <cell r="BU8">
            <v>1189851</v>
          </cell>
          <cell r="BV8">
            <v>503422</v>
          </cell>
          <cell r="BW8">
            <v>3867</v>
          </cell>
          <cell r="BX8">
            <v>127852</v>
          </cell>
          <cell r="BY8">
            <v>0</v>
          </cell>
          <cell r="BZ8">
            <v>303000</v>
          </cell>
          <cell r="CA8">
            <v>1481096.12</v>
          </cell>
          <cell r="CB8">
            <v>513736</v>
          </cell>
          <cell r="CC8">
            <v>0</v>
          </cell>
        </row>
        <row r="9">
          <cell r="A9" t="str">
            <v>Customers</v>
          </cell>
          <cell r="B9" t="str">
            <v>YN</v>
          </cell>
          <cell r="C9">
            <v>2010</v>
          </cell>
          <cell r="D9">
            <v>11612</v>
          </cell>
          <cell r="E9">
            <v>1663</v>
          </cell>
          <cell r="F9">
            <v>35688</v>
          </cell>
          <cell r="G9">
            <v>9667</v>
          </cell>
          <cell r="H9">
            <v>37654</v>
          </cell>
          <cell r="I9">
            <v>64329</v>
          </cell>
          <cell r="J9">
            <v>50890</v>
          </cell>
          <cell r="K9">
            <v>15635</v>
          </cell>
          <cell r="L9">
            <v>6463</v>
          </cell>
          <cell r="M9">
            <v>1306</v>
          </cell>
          <cell r="N9">
            <v>32033</v>
          </cell>
          <cell r="O9">
            <v>1639</v>
          </cell>
          <cell r="P9">
            <v>15533</v>
          </cell>
          <cell r="Q9">
            <v>1958</v>
          </cell>
          <cell r="R9">
            <v>11205</v>
          </cell>
          <cell r="S9">
            <v>192960</v>
          </cell>
          <cell r="T9">
            <v>84866</v>
          </cell>
          <cell r="U9">
            <v>14373</v>
          </cell>
          <cell r="V9">
            <v>3300</v>
          </cell>
          <cell r="W9">
            <v>28183</v>
          </cell>
          <cell r="X9">
            <v>19579</v>
          </cell>
          <cell r="Y9">
            <v>3777</v>
          </cell>
          <cell r="Z9">
            <v>46710</v>
          </cell>
          <cell r="AA9">
            <v>10151</v>
          </cell>
          <cell r="AB9">
            <v>50250</v>
          </cell>
          <cell r="AC9">
            <v>20971</v>
          </cell>
          <cell r="AD9">
            <v>20790</v>
          </cell>
          <cell r="AE9">
            <v>2734</v>
          </cell>
          <cell r="AF9">
            <v>234464</v>
          </cell>
          <cell r="AG9">
            <v>1196</v>
          </cell>
          <cell r="AH9">
            <v>5496</v>
          </cell>
          <cell r="AI9">
            <v>134228</v>
          </cell>
          <cell r="AJ9">
            <v>1203030</v>
          </cell>
          <cell r="AK9">
            <v>300664</v>
          </cell>
          <cell r="AL9">
            <v>14707</v>
          </cell>
          <cell r="AM9">
            <v>5580</v>
          </cell>
          <cell r="AN9">
            <v>26944</v>
          </cell>
          <cell r="AO9">
            <v>86611</v>
          </cell>
          <cell r="AP9">
            <v>9571</v>
          </cell>
          <cell r="AQ9">
            <v>9439</v>
          </cell>
          <cell r="AR9">
            <v>146974</v>
          </cell>
          <cell r="AS9">
            <v>7859</v>
          </cell>
          <cell r="AT9">
            <v>6914</v>
          </cell>
          <cell r="AU9">
            <v>29142</v>
          </cell>
          <cell r="AV9">
            <v>32911</v>
          </cell>
          <cell r="AW9">
            <v>51048</v>
          </cell>
          <cell r="AX9">
            <v>7882</v>
          </cell>
          <cell r="AY9">
            <v>18940</v>
          </cell>
          <cell r="AZ9">
            <v>23754</v>
          </cell>
          <cell r="BA9">
            <v>6026</v>
          </cell>
          <cell r="BB9">
            <v>62674</v>
          </cell>
          <cell r="BC9">
            <v>11256</v>
          </cell>
          <cell r="BD9">
            <v>12862</v>
          </cell>
          <cell r="BE9">
            <v>52710</v>
          </cell>
          <cell r="BF9">
            <v>10475</v>
          </cell>
          <cell r="BG9">
            <v>3377</v>
          </cell>
          <cell r="BH9">
            <v>35012</v>
          </cell>
          <cell r="BI9">
            <v>9169</v>
          </cell>
          <cell r="BJ9">
            <v>325540</v>
          </cell>
          <cell r="BK9">
            <v>32870</v>
          </cell>
          <cell r="BL9">
            <v>4155</v>
          </cell>
          <cell r="BM9">
            <v>5818</v>
          </cell>
          <cell r="BN9">
            <v>2754</v>
          </cell>
          <cell r="BO9">
            <v>16419</v>
          </cell>
          <cell r="BP9">
            <v>49508</v>
          </cell>
          <cell r="BQ9">
            <v>6700</v>
          </cell>
          <cell r="BR9">
            <v>700386</v>
          </cell>
          <cell r="BS9">
            <v>112569</v>
          </cell>
          <cell r="BT9">
            <v>12046</v>
          </cell>
          <cell r="BU9">
            <v>51914</v>
          </cell>
          <cell r="BV9">
            <v>21411</v>
          </cell>
          <cell r="BW9">
            <v>3613</v>
          </cell>
          <cell r="BX9">
            <v>3770</v>
          </cell>
          <cell r="BY9">
            <v>2049</v>
          </cell>
          <cell r="BZ9">
            <v>22007</v>
          </cell>
          <cell r="CA9">
            <v>39669</v>
          </cell>
          <cell r="CB9">
            <v>15074</v>
          </cell>
          <cell r="CC9">
            <v>3561</v>
          </cell>
        </row>
        <row r="10">
          <cell r="A10" t="str">
            <v>Customers - Residential</v>
          </cell>
          <cell r="B10" t="str">
            <v>YNR</v>
          </cell>
          <cell r="C10">
            <v>2010</v>
          </cell>
          <cell r="D10">
            <v>10623</v>
          </cell>
          <cell r="E10">
            <v>1409</v>
          </cell>
          <cell r="F10">
            <v>31750</v>
          </cell>
          <cell r="G10">
            <v>8215</v>
          </cell>
          <cell r="H10">
            <v>34495</v>
          </cell>
          <cell r="I10">
            <v>58263</v>
          </cell>
          <cell r="J10">
            <v>45526</v>
          </cell>
          <cell r="K10">
            <v>14278</v>
          </cell>
          <cell r="L10">
            <v>5692</v>
          </cell>
          <cell r="M10">
            <v>1132</v>
          </cell>
          <cell r="N10">
            <v>28512</v>
          </cell>
          <cell r="O10">
            <v>1403</v>
          </cell>
          <cell r="P10">
            <v>13727</v>
          </cell>
          <cell r="Q10">
            <v>1777</v>
          </cell>
          <cell r="R10">
            <v>9899</v>
          </cell>
          <cell r="S10">
            <v>171247</v>
          </cell>
          <cell r="T10">
            <v>76720</v>
          </cell>
          <cell r="U10">
            <v>12847</v>
          </cell>
          <cell r="V10">
            <v>2850</v>
          </cell>
          <cell r="W10">
            <v>25915</v>
          </cell>
          <cell r="X10">
            <v>17373</v>
          </cell>
          <cell r="Y10">
            <v>3307</v>
          </cell>
          <cell r="Z10">
            <v>42068</v>
          </cell>
          <cell r="AA10">
            <v>9379</v>
          </cell>
          <cell r="AB10">
            <v>46001</v>
          </cell>
          <cell r="AC10">
            <v>18465</v>
          </cell>
          <cell r="AD10">
            <v>18944</v>
          </cell>
          <cell r="AE10">
            <v>2292</v>
          </cell>
          <cell r="AF10">
            <v>214133</v>
          </cell>
          <cell r="AG10">
            <v>1041</v>
          </cell>
          <cell r="AH10">
            <v>4817</v>
          </cell>
          <cell r="AI10">
            <v>124592</v>
          </cell>
          <cell r="AJ10">
            <v>1093342</v>
          </cell>
          <cell r="AK10">
            <v>273758</v>
          </cell>
          <cell r="AL10">
            <v>13747</v>
          </cell>
          <cell r="AM10">
            <v>4770</v>
          </cell>
          <cell r="AN10">
            <v>23336</v>
          </cell>
          <cell r="AO10">
            <v>78142</v>
          </cell>
          <cell r="AP10">
            <v>8369</v>
          </cell>
          <cell r="AQ10">
            <v>7782</v>
          </cell>
          <cell r="AR10">
            <v>133452</v>
          </cell>
          <cell r="AS10">
            <v>6984</v>
          </cell>
          <cell r="AT10">
            <v>6063</v>
          </cell>
          <cell r="AU10">
            <v>26587</v>
          </cell>
          <cell r="AV10">
            <v>29533</v>
          </cell>
          <cell r="AW10">
            <v>45840</v>
          </cell>
          <cell r="AX10">
            <v>6537</v>
          </cell>
          <cell r="AY10">
            <v>16769</v>
          </cell>
          <cell r="AZ10">
            <v>20845</v>
          </cell>
          <cell r="BA10">
            <v>5202</v>
          </cell>
          <cell r="BB10">
            <v>56902</v>
          </cell>
          <cell r="BC10">
            <v>9963</v>
          </cell>
          <cell r="BD10">
            <v>11357</v>
          </cell>
          <cell r="BE10">
            <v>48387</v>
          </cell>
          <cell r="BF10">
            <v>8955</v>
          </cell>
          <cell r="BG10">
            <v>2773</v>
          </cell>
          <cell r="BH10">
            <v>31037</v>
          </cell>
          <cell r="BI10">
            <v>8151</v>
          </cell>
          <cell r="BJ10">
            <v>290951</v>
          </cell>
          <cell r="BK10">
            <v>29086</v>
          </cell>
          <cell r="BL10">
            <v>3654</v>
          </cell>
          <cell r="BM10">
            <v>4982</v>
          </cell>
          <cell r="BN10">
            <v>2312</v>
          </cell>
          <cell r="BO10">
            <v>14538</v>
          </cell>
          <cell r="BP10">
            <v>44559</v>
          </cell>
          <cell r="BQ10">
            <v>5954</v>
          </cell>
          <cell r="BR10">
            <v>620501</v>
          </cell>
          <cell r="BS10">
            <v>102929</v>
          </cell>
          <cell r="BT10">
            <v>11238</v>
          </cell>
          <cell r="BU10">
            <v>45863</v>
          </cell>
          <cell r="BV10">
            <v>19543</v>
          </cell>
          <cell r="BW10">
            <v>3095</v>
          </cell>
          <cell r="BX10">
            <v>3237</v>
          </cell>
          <cell r="BY10">
            <v>1794</v>
          </cell>
          <cell r="BZ10">
            <v>19301</v>
          </cell>
          <cell r="CA10">
            <v>37283</v>
          </cell>
          <cell r="CB10">
            <v>13701</v>
          </cell>
          <cell r="CC10">
            <v>3100</v>
          </cell>
        </row>
        <row r="11">
          <cell r="A11" t="str">
            <v>Customers - Other</v>
          </cell>
          <cell r="B11" t="str">
            <v>YNO</v>
          </cell>
          <cell r="C11">
            <v>2010</v>
          </cell>
          <cell r="D11">
            <v>989</v>
          </cell>
          <cell r="E11">
            <v>254</v>
          </cell>
          <cell r="F11">
            <v>3938</v>
          </cell>
          <cell r="G11">
            <v>1452</v>
          </cell>
          <cell r="H11">
            <v>3159</v>
          </cell>
          <cell r="I11">
            <v>6066</v>
          </cell>
          <cell r="J11">
            <v>5364</v>
          </cell>
          <cell r="K11">
            <v>1357</v>
          </cell>
          <cell r="L11">
            <v>771</v>
          </cell>
          <cell r="M11">
            <v>174</v>
          </cell>
          <cell r="N11">
            <v>3521</v>
          </cell>
          <cell r="O11">
            <v>236</v>
          </cell>
          <cell r="P11">
            <v>1806</v>
          </cell>
          <cell r="Q11">
            <v>181</v>
          </cell>
          <cell r="R11">
            <v>1306</v>
          </cell>
          <cell r="S11">
            <v>21713</v>
          </cell>
          <cell r="T11">
            <v>8146</v>
          </cell>
          <cell r="U11">
            <v>1526</v>
          </cell>
          <cell r="V11">
            <v>450</v>
          </cell>
          <cell r="W11">
            <v>2268</v>
          </cell>
          <cell r="X11">
            <v>2206</v>
          </cell>
          <cell r="Y11">
            <v>470</v>
          </cell>
          <cell r="Z11">
            <v>4642</v>
          </cell>
          <cell r="AA11">
            <v>772</v>
          </cell>
          <cell r="AB11">
            <v>4249</v>
          </cell>
          <cell r="AC11">
            <v>2506</v>
          </cell>
          <cell r="AD11">
            <v>1846</v>
          </cell>
          <cell r="AE11">
            <v>442</v>
          </cell>
          <cell r="AF11">
            <v>20331</v>
          </cell>
          <cell r="AG11">
            <v>155</v>
          </cell>
          <cell r="AH11">
            <v>679</v>
          </cell>
          <cell r="AI11">
            <v>9636</v>
          </cell>
          <cell r="AJ11">
            <v>109688</v>
          </cell>
          <cell r="AK11">
            <v>26906</v>
          </cell>
          <cell r="AL11">
            <v>960</v>
          </cell>
          <cell r="AM11">
            <v>810</v>
          </cell>
          <cell r="AN11">
            <v>3608</v>
          </cell>
          <cell r="AO11">
            <v>8469</v>
          </cell>
          <cell r="AP11">
            <v>1202</v>
          </cell>
          <cell r="AQ11">
            <v>1657</v>
          </cell>
          <cell r="AR11">
            <v>13522</v>
          </cell>
          <cell r="AS11">
            <v>875</v>
          </cell>
          <cell r="AT11">
            <v>851</v>
          </cell>
          <cell r="AU11">
            <v>2555</v>
          </cell>
          <cell r="AV11">
            <v>3378</v>
          </cell>
          <cell r="AW11">
            <v>5208</v>
          </cell>
          <cell r="AX11">
            <v>1345</v>
          </cell>
          <cell r="AY11">
            <v>2171</v>
          </cell>
          <cell r="AZ11">
            <v>2909</v>
          </cell>
          <cell r="BA11">
            <v>824</v>
          </cell>
          <cell r="BB11">
            <v>5772</v>
          </cell>
          <cell r="BC11">
            <v>1293</v>
          </cell>
          <cell r="BD11">
            <v>1505</v>
          </cell>
          <cell r="BE11">
            <v>4323</v>
          </cell>
          <cell r="BF11">
            <v>1520</v>
          </cell>
          <cell r="BG11">
            <v>604</v>
          </cell>
          <cell r="BH11">
            <v>3975</v>
          </cell>
          <cell r="BI11">
            <v>1018</v>
          </cell>
          <cell r="BJ11">
            <v>34589</v>
          </cell>
          <cell r="BK11">
            <v>3784</v>
          </cell>
          <cell r="BL11">
            <v>501</v>
          </cell>
          <cell r="BM11">
            <v>836</v>
          </cell>
          <cell r="BN11">
            <v>442</v>
          </cell>
          <cell r="BO11">
            <v>1881</v>
          </cell>
          <cell r="BP11">
            <v>4949</v>
          </cell>
          <cell r="BQ11">
            <v>746</v>
          </cell>
          <cell r="BR11">
            <v>79885</v>
          </cell>
          <cell r="BS11">
            <v>9640</v>
          </cell>
          <cell r="BT11">
            <v>808</v>
          </cell>
          <cell r="BU11">
            <v>6051</v>
          </cell>
          <cell r="BV11">
            <v>1868</v>
          </cell>
          <cell r="BW11">
            <v>518</v>
          </cell>
          <cell r="BX11">
            <v>533</v>
          </cell>
          <cell r="BY11">
            <v>255</v>
          </cell>
          <cell r="BZ11">
            <v>2706</v>
          </cell>
          <cell r="CA11">
            <v>2386</v>
          </cell>
          <cell r="CB11">
            <v>1373</v>
          </cell>
          <cell r="CC11">
            <v>461</v>
          </cell>
        </row>
        <row r="12">
          <cell r="A12" t="str">
            <v>kWh</v>
          </cell>
          <cell r="B12" t="str">
            <v>YV</v>
          </cell>
          <cell r="C12">
            <v>2010</v>
          </cell>
          <cell r="D12">
            <v>180583894.49999997</v>
          </cell>
          <cell r="E12">
            <v>21531663.359999999</v>
          </cell>
          <cell r="F12">
            <v>1030817957</v>
          </cell>
          <cell r="G12">
            <v>288299093</v>
          </cell>
          <cell r="H12">
            <v>911212372</v>
          </cell>
          <cell r="I12">
            <v>1700835297</v>
          </cell>
          <cell r="J12">
            <v>1457680195</v>
          </cell>
          <cell r="K12">
            <v>278661632</v>
          </cell>
          <cell r="L12">
            <v>147441430.01999998</v>
          </cell>
          <cell r="M12">
            <v>25835710</v>
          </cell>
          <cell r="N12">
            <v>712863469</v>
          </cell>
          <cell r="O12">
            <v>29329775.09</v>
          </cell>
          <cell r="P12">
            <v>336639728</v>
          </cell>
          <cell r="Q12">
            <v>28686561</v>
          </cell>
          <cell r="R12">
            <v>234677916</v>
          </cell>
          <cell r="S12">
            <v>7658093088</v>
          </cell>
          <cell r="T12">
            <v>2310814488.4099998</v>
          </cell>
          <cell r="U12">
            <v>396237191.25999999</v>
          </cell>
          <cell r="V12">
            <v>59959618</v>
          </cell>
          <cell r="W12">
            <v>587451344</v>
          </cell>
          <cell r="X12">
            <v>567392652</v>
          </cell>
          <cell r="Y12">
            <v>79959168</v>
          </cell>
          <cell r="Z12">
            <v>921289657</v>
          </cell>
          <cell r="AA12">
            <v>186559007.97</v>
          </cell>
          <cell r="AB12">
            <v>1614445248.05</v>
          </cell>
          <cell r="AC12">
            <v>345304603</v>
          </cell>
          <cell r="AD12">
            <v>510209689.67999995</v>
          </cell>
          <cell r="AE12">
            <v>72819055</v>
          </cell>
          <cell r="AF12">
            <v>4818803039</v>
          </cell>
          <cell r="AG12">
            <v>24291392</v>
          </cell>
          <cell r="AH12">
            <v>158272196</v>
          </cell>
          <cell r="AI12">
            <v>3748744754</v>
          </cell>
          <cell r="AJ12">
            <v>21663000000</v>
          </cell>
          <cell r="AK12">
            <v>7530979620</v>
          </cell>
          <cell r="AL12">
            <v>245715888</v>
          </cell>
          <cell r="AM12">
            <v>108826235.3</v>
          </cell>
          <cell r="AN12">
            <v>704481097</v>
          </cell>
          <cell r="AO12">
            <v>1867408458</v>
          </cell>
          <cell r="AP12">
            <v>258268674</v>
          </cell>
          <cell r="AQ12">
            <v>201597611</v>
          </cell>
          <cell r="AR12">
            <v>3346831943</v>
          </cell>
          <cell r="AS12">
            <v>209496144.09999999</v>
          </cell>
          <cell r="AT12">
            <v>205510058</v>
          </cell>
          <cell r="AU12">
            <v>718110957</v>
          </cell>
          <cell r="AV12">
            <v>681230183</v>
          </cell>
          <cell r="AW12">
            <v>1183703863</v>
          </cell>
          <cell r="AX12">
            <v>177316883</v>
          </cell>
          <cell r="AY12">
            <v>364476577</v>
          </cell>
          <cell r="AZ12">
            <v>562643058</v>
          </cell>
          <cell r="BA12">
            <v>121642982</v>
          </cell>
          <cell r="BB12">
            <v>1593218181.73</v>
          </cell>
          <cell r="BC12">
            <v>245699092</v>
          </cell>
          <cell r="BD12">
            <v>305338215</v>
          </cell>
          <cell r="BE12">
            <v>1128809412</v>
          </cell>
          <cell r="BF12">
            <v>185435680</v>
          </cell>
          <cell r="BG12">
            <v>83932778.170000017</v>
          </cell>
          <cell r="BH12">
            <v>792968780</v>
          </cell>
          <cell r="BI12">
            <v>189138998</v>
          </cell>
          <cell r="BJ12">
            <v>8263543864</v>
          </cell>
          <cell r="BK12">
            <v>674907898</v>
          </cell>
          <cell r="BL12">
            <v>94435422</v>
          </cell>
          <cell r="BM12">
            <v>105964407</v>
          </cell>
          <cell r="BN12">
            <v>70574452</v>
          </cell>
          <cell r="BO12">
            <v>294869479</v>
          </cell>
          <cell r="BP12">
            <v>931409728</v>
          </cell>
          <cell r="BQ12">
            <v>192156166</v>
          </cell>
          <cell r="BR12">
            <v>24580686671</v>
          </cell>
          <cell r="BS12">
            <v>2517857267</v>
          </cell>
          <cell r="BT12">
            <v>118820900.25</v>
          </cell>
          <cell r="BU12">
            <v>1415659467</v>
          </cell>
          <cell r="BV12">
            <v>417555177</v>
          </cell>
          <cell r="BW12">
            <v>95579103.439999998</v>
          </cell>
          <cell r="BX12">
            <v>138131785.69999999</v>
          </cell>
          <cell r="BY12">
            <v>59501500.450000003</v>
          </cell>
          <cell r="BZ12">
            <v>473069663</v>
          </cell>
          <cell r="CA12">
            <v>851053371</v>
          </cell>
          <cell r="CB12">
            <v>371077515</v>
          </cell>
          <cell r="CC12">
            <v>58515114</v>
          </cell>
        </row>
        <row r="13">
          <cell r="A13" t="str">
            <v>kWh - Residential</v>
          </cell>
          <cell r="B13" t="str">
            <v>YVR</v>
          </cell>
          <cell r="C13">
            <v>2010</v>
          </cell>
          <cell r="D13">
            <v>83582747.400000006</v>
          </cell>
          <cell r="E13">
            <v>10673946.75</v>
          </cell>
          <cell r="F13">
            <v>262967731</v>
          </cell>
          <cell r="G13">
            <v>86183557</v>
          </cell>
          <cell r="H13">
            <v>289840430</v>
          </cell>
          <cell r="I13">
            <v>579116811</v>
          </cell>
          <cell r="J13">
            <v>395342413</v>
          </cell>
          <cell r="K13">
            <v>114051203</v>
          </cell>
          <cell r="L13">
            <v>45162580</v>
          </cell>
          <cell r="M13">
            <v>13585926</v>
          </cell>
          <cell r="N13">
            <v>236272579</v>
          </cell>
          <cell r="O13">
            <v>11595218</v>
          </cell>
          <cell r="P13">
            <v>125224900</v>
          </cell>
          <cell r="Q13">
            <v>19868483</v>
          </cell>
          <cell r="R13">
            <v>93358872</v>
          </cell>
          <cell r="S13">
            <v>1586325915</v>
          </cell>
          <cell r="T13">
            <v>647461708.20000005</v>
          </cell>
          <cell r="U13">
            <v>115184785</v>
          </cell>
          <cell r="V13">
            <v>31226253</v>
          </cell>
          <cell r="W13">
            <v>280065614</v>
          </cell>
          <cell r="X13">
            <v>141316645</v>
          </cell>
          <cell r="Y13">
            <v>38880708</v>
          </cell>
          <cell r="Z13">
            <v>394465898</v>
          </cell>
          <cell r="AA13">
            <v>96445306.670000002</v>
          </cell>
          <cell r="AB13">
            <v>364874674.47000003</v>
          </cell>
          <cell r="AC13">
            <v>172161499</v>
          </cell>
          <cell r="AD13">
            <v>224697944.84999999</v>
          </cell>
          <cell r="AE13">
            <v>25225707</v>
          </cell>
          <cell r="AF13">
            <v>1684535439</v>
          </cell>
          <cell r="AG13">
            <v>14930159</v>
          </cell>
          <cell r="AH13">
            <v>52798659</v>
          </cell>
          <cell r="AI13">
            <v>1161471420</v>
          </cell>
          <cell r="AJ13">
            <v>11964000000</v>
          </cell>
          <cell r="AK13">
            <v>2272176243</v>
          </cell>
          <cell r="AL13">
            <v>159406547</v>
          </cell>
          <cell r="AM13">
            <v>40203282.170000002</v>
          </cell>
          <cell r="AN13">
            <v>189807088</v>
          </cell>
          <cell r="AO13">
            <v>671668025</v>
          </cell>
          <cell r="AP13">
            <v>75492423</v>
          </cell>
          <cell r="AQ13">
            <v>77894336</v>
          </cell>
          <cell r="AR13">
            <v>1146514255</v>
          </cell>
          <cell r="AS13">
            <v>64995244.240000002</v>
          </cell>
          <cell r="AT13">
            <v>47915407</v>
          </cell>
          <cell r="AU13">
            <v>258659735</v>
          </cell>
          <cell r="AV13">
            <v>277978370</v>
          </cell>
          <cell r="AW13">
            <v>451343387</v>
          </cell>
          <cell r="AX13">
            <v>67066095</v>
          </cell>
          <cell r="AY13">
            <v>141859487</v>
          </cell>
          <cell r="AZ13">
            <v>206535118</v>
          </cell>
          <cell r="BA13">
            <v>41793455</v>
          </cell>
          <cell r="BB13">
            <v>625890072.50999999</v>
          </cell>
          <cell r="BC13">
            <v>86211880</v>
          </cell>
          <cell r="BD13">
            <v>107193730</v>
          </cell>
          <cell r="BE13">
            <v>500205636</v>
          </cell>
          <cell r="BF13">
            <v>76783544</v>
          </cell>
          <cell r="BG13">
            <v>32389316.25</v>
          </cell>
          <cell r="BH13">
            <v>284955081</v>
          </cell>
          <cell r="BI13">
            <v>64264350</v>
          </cell>
          <cell r="BJ13">
            <v>2727096928</v>
          </cell>
          <cell r="BK13">
            <v>326493714</v>
          </cell>
          <cell r="BL13">
            <v>30305144</v>
          </cell>
          <cell r="BM13">
            <v>44191614</v>
          </cell>
          <cell r="BN13">
            <v>31178902</v>
          </cell>
          <cell r="BO13">
            <v>120949829</v>
          </cell>
          <cell r="BP13">
            <v>335657888</v>
          </cell>
          <cell r="BQ13">
            <v>53434213</v>
          </cell>
          <cell r="BR13">
            <v>5209204594</v>
          </cell>
          <cell r="BS13">
            <v>972134187</v>
          </cell>
          <cell r="BT13">
            <v>77874801.480000004</v>
          </cell>
          <cell r="BU13">
            <v>413251129</v>
          </cell>
          <cell r="BV13">
            <v>159733338</v>
          </cell>
          <cell r="BW13">
            <v>25303870.890000001</v>
          </cell>
          <cell r="BX13">
            <v>26431108</v>
          </cell>
          <cell r="BY13">
            <v>16271614</v>
          </cell>
          <cell r="BZ13">
            <v>216435358</v>
          </cell>
          <cell r="CA13">
            <v>364548865</v>
          </cell>
          <cell r="CB13">
            <v>110101647</v>
          </cell>
          <cell r="CC13">
            <v>28625240</v>
          </cell>
        </row>
        <row r="14">
          <cell r="A14" t="str">
            <v>kWh - Other</v>
          </cell>
          <cell r="B14" t="str">
            <v>YVO</v>
          </cell>
          <cell r="C14">
            <v>2010</v>
          </cell>
          <cell r="D14">
            <v>97001147.099999964</v>
          </cell>
          <cell r="E14">
            <v>10857716.609999999</v>
          </cell>
          <cell r="F14">
            <v>767850226</v>
          </cell>
          <cell r="G14">
            <v>202115536</v>
          </cell>
          <cell r="H14">
            <v>621371942</v>
          </cell>
          <cell r="I14">
            <v>1121718486</v>
          </cell>
          <cell r="J14">
            <v>1062337782</v>
          </cell>
          <cell r="K14">
            <v>164610429</v>
          </cell>
          <cell r="L14">
            <v>102278850.01999998</v>
          </cell>
          <cell r="M14">
            <v>12249784</v>
          </cell>
          <cell r="N14">
            <v>476590890</v>
          </cell>
          <cell r="O14">
            <v>17734557.09</v>
          </cell>
          <cell r="P14">
            <v>211414828</v>
          </cell>
          <cell r="Q14">
            <v>8818078</v>
          </cell>
          <cell r="R14">
            <v>141319044</v>
          </cell>
          <cell r="S14">
            <v>6071767173</v>
          </cell>
          <cell r="T14">
            <v>1663352780.2099998</v>
          </cell>
          <cell r="U14">
            <v>281052406.25999999</v>
          </cell>
          <cell r="V14">
            <v>28733365</v>
          </cell>
          <cell r="W14">
            <v>307385730</v>
          </cell>
          <cell r="X14">
            <v>426076007</v>
          </cell>
          <cell r="Y14">
            <v>41078460</v>
          </cell>
          <cell r="Z14">
            <v>526823759</v>
          </cell>
          <cell r="AA14">
            <v>90113701.299999997</v>
          </cell>
          <cell r="AB14">
            <v>1249570573.5799999</v>
          </cell>
          <cell r="AC14">
            <v>173143104</v>
          </cell>
          <cell r="AD14">
            <v>285511744.82999992</v>
          </cell>
          <cell r="AE14">
            <v>47593348</v>
          </cell>
          <cell r="AF14">
            <v>3134267600</v>
          </cell>
          <cell r="AG14">
            <v>9361233</v>
          </cell>
          <cell r="AH14">
            <v>105473537</v>
          </cell>
          <cell r="AI14">
            <v>2587273334</v>
          </cell>
          <cell r="AJ14">
            <v>9699000000</v>
          </cell>
          <cell r="AK14">
            <v>5258803377</v>
          </cell>
          <cell r="AL14">
            <v>86309341</v>
          </cell>
          <cell r="AM14">
            <v>68622953.129999995</v>
          </cell>
          <cell r="AN14">
            <v>514674009</v>
          </cell>
          <cell r="AO14">
            <v>1195740433</v>
          </cell>
          <cell r="AP14">
            <v>182776251</v>
          </cell>
          <cell r="AQ14">
            <v>123703275</v>
          </cell>
          <cell r="AR14">
            <v>2200317688</v>
          </cell>
          <cell r="AS14">
            <v>144500899.85999998</v>
          </cell>
          <cell r="AT14">
            <v>157594651</v>
          </cell>
          <cell r="AU14">
            <v>459451222</v>
          </cell>
          <cell r="AV14">
            <v>403251813</v>
          </cell>
          <cell r="AW14">
            <v>732360476</v>
          </cell>
          <cell r="AX14">
            <v>110250788</v>
          </cell>
          <cell r="AY14">
            <v>222617090</v>
          </cell>
          <cell r="AZ14">
            <v>356107940</v>
          </cell>
          <cell r="BA14">
            <v>79849527</v>
          </cell>
          <cell r="BB14">
            <v>967328109.22000003</v>
          </cell>
          <cell r="BC14">
            <v>159487212</v>
          </cell>
          <cell r="BD14">
            <v>198144485</v>
          </cell>
          <cell r="BE14">
            <v>628603776</v>
          </cell>
          <cell r="BF14">
            <v>108652136</v>
          </cell>
          <cell r="BG14">
            <v>51543461.920000017</v>
          </cell>
          <cell r="BH14">
            <v>508013699</v>
          </cell>
          <cell r="BI14">
            <v>124874648</v>
          </cell>
          <cell r="BJ14">
            <v>5536446936</v>
          </cell>
          <cell r="BK14">
            <v>348414184</v>
          </cell>
          <cell r="BL14">
            <v>64130278</v>
          </cell>
          <cell r="BM14">
            <v>61772793</v>
          </cell>
          <cell r="BN14">
            <v>39395550</v>
          </cell>
          <cell r="BO14">
            <v>173919650</v>
          </cell>
          <cell r="BP14">
            <v>595751840</v>
          </cell>
          <cell r="BQ14">
            <v>138721953</v>
          </cell>
          <cell r="BR14">
            <v>19371482077</v>
          </cell>
          <cell r="BS14">
            <v>1545723080</v>
          </cell>
          <cell r="BT14">
            <v>40946098.769999996</v>
          </cell>
          <cell r="BU14">
            <v>1002408338</v>
          </cell>
          <cell r="BV14">
            <v>257821839</v>
          </cell>
          <cell r="BW14">
            <v>70275232.549999997</v>
          </cell>
          <cell r="BX14">
            <v>111700677.69999999</v>
          </cell>
          <cell r="BY14">
            <v>43229886.450000003</v>
          </cell>
          <cell r="BZ14">
            <v>256634305</v>
          </cell>
          <cell r="CA14">
            <v>486504506</v>
          </cell>
          <cell r="CB14">
            <v>260975868</v>
          </cell>
          <cell r="CC14">
            <v>29889874</v>
          </cell>
        </row>
        <row r="15">
          <cell r="A15" t="str">
            <v>kW</v>
          </cell>
          <cell r="B15" t="str">
            <v>YD</v>
          </cell>
          <cell r="C15">
            <v>2010</v>
          </cell>
          <cell r="D15">
            <v>163570</v>
          </cell>
          <cell r="E15">
            <v>28883</v>
          </cell>
          <cell r="F15">
            <v>1375205</v>
          </cell>
          <cell r="G15">
            <v>340236</v>
          </cell>
          <cell r="H15">
            <v>1326294</v>
          </cell>
          <cell r="I15">
            <v>2405197</v>
          </cell>
          <cell r="J15">
            <v>2382603</v>
          </cell>
          <cell r="K15">
            <v>368891</v>
          </cell>
          <cell r="L15">
            <v>215599</v>
          </cell>
          <cell r="M15">
            <v>18567</v>
          </cell>
          <cell r="N15">
            <v>1054091</v>
          </cell>
          <cell r="O15">
            <v>37544</v>
          </cell>
          <cell r="P15">
            <v>352326</v>
          </cell>
          <cell r="Q15">
            <v>11793</v>
          </cell>
          <cell r="R15">
            <v>27745210</v>
          </cell>
          <cell r="S15">
            <v>13220321</v>
          </cell>
          <cell r="T15">
            <v>3423698</v>
          </cell>
          <cell r="U15">
            <v>284367</v>
          </cell>
          <cell r="V15">
            <v>43226</v>
          </cell>
          <cell r="W15">
            <v>481982</v>
          </cell>
          <cell r="X15">
            <v>939398</v>
          </cell>
          <cell r="Y15">
            <v>65577</v>
          </cell>
          <cell r="Z15">
            <v>965342</v>
          </cell>
          <cell r="AA15">
            <v>174345</v>
          </cell>
          <cell r="AB15">
            <v>2404857</v>
          </cell>
          <cell r="AC15">
            <v>324503</v>
          </cell>
          <cell r="AD15">
            <v>606534</v>
          </cell>
          <cell r="AE15">
            <v>108747</v>
          </cell>
          <cell r="AF15">
            <v>7951326</v>
          </cell>
          <cell r="AG15">
            <v>10940</v>
          </cell>
          <cell r="AH15">
            <v>209711</v>
          </cell>
          <cell r="AI15">
            <v>5648713</v>
          </cell>
          <cell r="AJ15">
            <v>27731332</v>
          </cell>
          <cell r="AK15">
            <v>10359638</v>
          </cell>
          <cell r="AL15">
            <v>155282</v>
          </cell>
          <cell r="AM15">
            <v>104670</v>
          </cell>
          <cell r="AN15">
            <v>1037576</v>
          </cell>
          <cell r="AO15">
            <v>0</v>
          </cell>
          <cell r="AP15">
            <v>346756</v>
          </cell>
          <cell r="AQ15">
            <v>203252</v>
          </cell>
          <cell r="AR15">
            <v>4574779</v>
          </cell>
          <cell r="AS15">
            <v>295482</v>
          </cell>
          <cell r="AT15">
            <v>330423</v>
          </cell>
          <cell r="AU15">
            <v>920198</v>
          </cell>
          <cell r="AV15">
            <v>0</v>
          </cell>
          <cell r="AW15">
            <v>1769836</v>
          </cell>
          <cell r="AX15">
            <v>216924</v>
          </cell>
          <cell r="AY15">
            <v>342702</v>
          </cell>
          <cell r="AZ15">
            <v>666263</v>
          </cell>
          <cell r="BA15">
            <v>182783</v>
          </cell>
          <cell r="BB15">
            <v>1965913</v>
          </cell>
          <cell r="BC15">
            <v>298437</v>
          </cell>
          <cell r="BD15">
            <v>386685</v>
          </cell>
          <cell r="BE15">
            <v>1137441</v>
          </cell>
          <cell r="BF15">
            <v>211781</v>
          </cell>
          <cell r="BG15">
            <v>90298</v>
          </cell>
          <cell r="BH15">
            <v>946709</v>
          </cell>
          <cell r="BI15">
            <v>379400</v>
          </cell>
          <cell r="BJ15">
            <v>12014000</v>
          </cell>
          <cell r="BK15">
            <v>635104</v>
          </cell>
          <cell r="BL15">
            <v>141997</v>
          </cell>
          <cell r="BM15">
            <v>128467</v>
          </cell>
          <cell r="BN15">
            <v>71492</v>
          </cell>
          <cell r="BO15">
            <v>353239</v>
          </cell>
          <cell r="BP15">
            <v>1290601</v>
          </cell>
          <cell r="BQ15">
            <v>332720</v>
          </cell>
          <cell r="BR15">
            <v>42443032</v>
          </cell>
          <cell r="BS15">
            <v>2884529</v>
          </cell>
          <cell r="BT15">
            <v>54155</v>
          </cell>
          <cell r="BU15">
            <v>1918250</v>
          </cell>
          <cell r="BV15">
            <v>593331</v>
          </cell>
          <cell r="BW15">
            <v>144653</v>
          </cell>
          <cell r="BX15">
            <v>247464</v>
          </cell>
          <cell r="BY15">
            <v>97224</v>
          </cell>
          <cell r="BZ15">
            <v>472060</v>
          </cell>
          <cell r="CA15">
            <v>975051</v>
          </cell>
          <cell r="CB15">
            <v>574272</v>
          </cell>
          <cell r="CC15">
            <v>58146</v>
          </cell>
        </row>
        <row r="16">
          <cell r="A16" t="str">
            <v>kW - Residential</v>
          </cell>
          <cell r="B16" t="str">
            <v>YDR</v>
          </cell>
          <cell r="C16">
            <v>2010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2010</v>
          </cell>
          <cell r="D17">
            <v>163570</v>
          </cell>
          <cell r="E17">
            <v>28883</v>
          </cell>
          <cell r="F17">
            <v>1375205</v>
          </cell>
          <cell r="G17">
            <v>340236</v>
          </cell>
          <cell r="H17">
            <v>1326294</v>
          </cell>
          <cell r="I17">
            <v>2405197</v>
          </cell>
          <cell r="J17">
            <v>2382603</v>
          </cell>
          <cell r="K17">
            <v>368891</v>
          </cell>
          <cell r="L17">
            <v>215599</v>
          </cell>
          <cell r="M17">
            <v>18567</v>
          </cell>
          <cell r="N17">
            <v>1054091</v>
          </cell>
          <cell r="O17">
            <v>37544</v>
          </cell>
          <cell r="P17">
            <v>352326</v>
          </cell>
          <cell r="Q17">
            <v>11793</v>
          </cell>
          <cell r="R17">
            <v>27745210</v>
          </cell>
          <cell r="S17">
            <v>13220321</v>
          </cell>
          <cell r="T17">
            <v>3423698</v>
          </cell>
          <cell r="U17">
            <v>284367</v>
          </cell>
          <cell r="V17">
            <v>43226</v>
          </cell>
          <cell r="W17">
            <v>481982</v>
          </cell>
          <cell r="X17">
            <v>939398</v>
          </cell>
          <cell r="Y17">
            <v>65577</v>
          </cell>
          <cell r="Z17">
            <v>965342</v>
          </cell>
          <cell r="AA17">
            <v>174345</v>
          </cell>
          <cell r="AB17">
            <v>2404857</v>
          </cell>
          <cell r="AC17">
            <v>324503</v>
          </cell>
          <cell r="AD17">
            <v>606534</v>
          </cell>
          <cell r="AE17">
            <v>108747</v>
          </cell>
          <cell r="AF17">
            <v>7951326</v>
          </cell>
          <cell r="AG17">
            <v>10940</v>
          </cell>
          <cell r="AH17">
            <v>209711</v>
          </cell>
          <cell r="AI17">
            <v>5648713</v>
          </cell>
          <cell r="AJ17">
            <v>27731332</v>
          </cell>
          <cell r="AK17">
            <v>10359638</v>
          </cell>
          <cell r="AL17">
            <v>155282</v>
          </cell>
          <cell r="AM17">
            <v>104670</v>
          </cell>
          <cell r="AN17">
            <v>1037576</v>
          </cell>
          <cell r="AO17">
            <v>0</v>
          </cell>
          <cell r="AP17">
            <v>346756</v>
          </cell>
          <cell r="AQ17">
            <v>203252</v>
          </cell>
          <cell r="AR17">
            <v>4574779</v>
          </cell>
          <cell r="AS17">
            <v>295482</v>
          </cell>
          <cell r="AT17">
            <v>330423</v>
          </cell>
          <cell r="AU17">
            <v>920198</v>
          </cell>
          <cell r="AV17">
            <v>0</v>
          </cell>
          <cell r="AW17">
            <v>1769836</v>
          </cell>
          <cell r="AX17">
            <v>216924</v>
          </cell>
          <cell r="AY17">
            <v>342702</v>
          </cell>
          <cell r="AZ17">
            <v>666263</v>
          </cell>
          <cell r="BA17">
            <v>182783</v>
          </cell>
          <cell r="BB17">
            <v>1965913</v>
          </cell>
          <cell r="BC17">
            <v>298437</v>
          </cell>
          <cell r="BD17">
            <v>386685</v>
          </cell>
          <cell r="BE17">
            <v>1137441</v>
          </cell>
          <cell r="BF17">
            <v>211781</v>
          </cell>
          <cell r="BG17">
            <v>90298</v>
          </cell>
          <cell r="BH17">
            <v>946709</v>
          </cell>
          <cell r="BI17">
            <v>379400</v>
          </cell>
          <cell r="BJ17">
            <v>12014000</v>
          </cell>
          <cell r="BK17">
            <v>635104</v>
          </cell>
          <cell r="BL17">
            <v>141997</v>
          </cell>
          <cell r="BM17">
            <v>128467</v>
          </cell>
          <cell r="BN17">
            <v>71492</v>
          </cell>
          <cell r="BO17">
            <v>353239</v>
          </cell>
          <cell r="BP17">
            <v>1290601</v>
          </cell>
          <cell r="BQ17">
            <v>332720</v>
          </cell>
          <cell r="BR17">
            <v>42443032</v>
          </cell>
          <cell r="BS17">
            <v>2884529</v>
          </cell>
          <cell r="BT17">
            <v>54155</v>
          </cell>
          <cell r="BU17">
            <v>1918250</v>
          </cell>
          <cell r="BV17">
            <v>593331</v>
          </cell>
          <cell r="BW17">
            <v>144653</v>
          </cell>
          <cell r="BX17">
            <v>247464</v>
          </cell>
          <cell r="BY17">
            <v>97224</v>
          </cell>
          <cell r="BZ17">
            <v>472060</v>
          </cell>
          <cell r="CA17">
            <v>975051</v>
          </cell>
          <cell r="CB17">
            <v>574272</v>
          </cell>
          <cell r="CC17">
            <v>58146</v>
          </cell>
        </row>
        <row r="18">
          <cell r="A18" t="str">
            <v>Total service area</v>
          </cell>
          <cell r="B18" t="str">
            <v>AREA</v>
          </cell>
          <cell r="C18">
            <v>2010</v>
          </cell>
          <cell r="D18">
            <v>14200</v>
          </cell>
        </row>
        <row r="19">
          <cell r="A19" t="str">
            <v>Urban service area</v>
          </cell>
          <cell r="B19" t="str">
            <v>AREAURB</v>
          </cell>
          <cell r="C19">
            <v>2010</v>
          </cell>
          <cell r="D19">
            <v>3</v>
          </cell>
        </row>
        <row r="20">
          <cell r="A20" t="str">
            <v>Rural service area</v>
          </cell>
          <cell r="B20" t="str">
            <v>AREARUR</v>
          </cell>
          <cell r="C20">
            <v>2010</v>
          </cell>
          <cell r="D20">
            <v>14197</v>
          </cell>
        </row>
        <row r="21">
          <cell r="A21" t="str">
            <v>Service area population</v>
          </cell>
          <cell r="B21" t="str">
            <v>POP</v>
          </cell>
          <cell r="C21">
            <v>2010</v>
          </cell>
          <cell r="D21">
            <v>16789</v>
          </cell>
          <cell r="E21">
            <v>3000</v>
          </cell>
          <cell r="F21">
            <v>84379</v>
          </cell>
          <cell r="G21">
            <v>25000</v>
          </cell>
          <cell r="H21">
            <v>94493</v>
          </cell>
          <cell r="I21">
            <v>175800</v>
          </cell>
          <cell r="J21">
            <v>138810</v>
          </cell>
          <cell r="K21">
            <v>27698</v>
          </cell>
          <cell r="L21">
            <v>21640</v>
          </cell>
          <cell r="M21">
            <v>2428</v>
          </cell>
          <cell r="N21">
            <v>94769</v>
          </cell>
          <cell r="O21">
            <v>3100</v>
          </cell>
          <cell r="P21">
            <v>27000</v>
          </cell>
          <cell r="Q21">
            <v>4000</v>
          </cell>
          <cell r="R21">
            <v>21873</v>
          </cell>
          <cell r="S21">
            <v>734000</v>
          </cell>
          <cell r="T21">
            <v>215718</v>
          </cell>
          <cell r="U21">
            <v>32042</v>
          </cell>
          <cell r="V21">
            <v>7138</v>
          </cell>
          <cell r="W21">
            <v>73654</v>
          </cell>
          <cell r="X21">
            <v>44187</v>
          </cell>
          <cell r="Y21">
            <v>8315</v>
          </cell>
          <cell r="Z21">
            <v>109529</v>
          </cell>
          <cell r="AA21">
            <v>27000</v>
          </cell>
          <cell r="AB21">
            <v>131605</v>
          </cell>
          <cell r="AC21">
            <v>45212</v>
          </cell>
          <cell r="AD21">
            <v>55089</v>
          </cell>
          <cell r="AE21">
            <v>5620</v>
          </cell>
          <cell r="AF21">
            <v>574299</v>
          </cell>
          <cell r="AG21">
            <v>2650</v>
          </cell>
          <cell r="AH21">
            <v>10500</v>
          </cell>
          <cell r="AI21">
            <v>498615</v>
          </cell>
          <cell r="AJ21">
            <v>3010854</v>
          </cell>
          <cell r="AK21">
            <v>825813</v>
          </cell>
          <cell r="AL21">
            <v>34000</v>
          </cell>
          <cell r="AM21">
            <v>12000</v>
          </cell>
          <cell r="AN21">
            <v>58000</v>
          </cell>
          <cell r="AO21">
            <v>248760</v>
          </cell>
          <cell r="AP21">
            <v>22000</v>
          </cell>
          <cell r="AQ21">
            <v>22769</v>
          </cell>
          <cell r="AR21">
            <v>355000</v>
          </cell>
          <cell r="AS21">
            <v>7831</v>
          </cell>
          <cell r="AT21">
            <v>16000</v>
          </cell>
          <cell r="AU21">
            <v>87000</v>
          </cell>
          <cell r="AV21">
            <v>91092</v>
          </cell>
          <cell r="AW21">
            <v>138450</v>
          </cell>
          <cell r="AX21">
            <v>15000</v>
          </cell>
          <cell r="AY21">
            <v>31500</v>
          </cell>
          <cell r="AZ21">
            <v>55000</v>
          </cell>
          <cell r="BA21">
            <v>14000</v>
          </cell>
          <cell r="BB21">
            <v>180500</v>
          </cell>
          <cell r="BC21">
            <v>29905</v>
          </cell>
          <cell r="BD21">
            <v>31000</v>
          </cell>
          <cell r="BE21">
            <v>155000</v>
          </cell>
          <cell r="BF21">
            <v>20200</v>
          </cell>
          <cell r="BG21">
            <v>6500</v>
          </cell>
          <cell r="BH21">
            <v>83396</v>
          </cell>
          <cell r="BI21">
            <v>18003</v>
          </cell>
          <cell r="BJ21">
            <v>1196983</v>
          </cell>
          <cell r="BK21">
            <v>78000</v>
          </cell>
          <cell r="BL21">
            <v>7846</v>
          </cell>
          <cell r="BM21">
            <v>9900</v>
          </cell>
          <cell r="BN21">
            <v>5336</v>
          </cell>
          <cell r="BO21">
            <v>36110</v>
          </cell>
          <cell r="BP21">
            <v>109972</v>
          </cell>
          <cell r="BQ21">
            <v>15140</v>
          </cell>
          <cell r="BR21">
            <v>2503281</v>
          </cell>
          <cell r="BS21">
            <v>312571</v>
          </cell>
          <cell r="BT21">
            <v>17300</v>
          </cell>
          <cell r="BU21">
            <v>156230</v>
          </cell>
          <cell r="BV21">
            <v>50331</v>
          </cell>
          <cell r="BW21">
            <v>7200</v>
          </cell>
          <cell r="BX21">
            <v>7251</v>
          </cell>
          <cell r="BY21">
            <v>3900</v>
          </cell>
          <cell r="BZ21">
            <v>47893</v>
          </cell>
          <cell r="CA21">
            <v>125000</v>
          </cell>
          <cell r="CB21">
            <v>36000</v>
          </cell>
          <cell r="CC21">
            <v>6700</v>
          </cell>
        </row>
        <row r="22">
          <cell r="A22" t="str">
            <v>Municipal population</v>
          </cell>
          <cell r="B22" t="str">
            <v>POPCITY</v>
          </cell>
          <cell r="C22">
            <v>2010</v>
          </cell>
          <cell r="D22">
            <v>10552</v>
          </cell>
          <cell r="E22">
            <v>3000</v>
          </cell>
          <cell r="F22">
            <v>86689</v>
          </cell>
          <cell r="G22">
            <v>30000</v>
          </cell>
          <cell r="H22">
            <v>94493</v>
          </cell>
          <cell r="I22">
            <v>175800</v>
          </cell>
          <cell r="J22">
            <v>138810</v>
          </cell>
          <cell r="K22">
            <v>27698</v>
          </cell>
          <cell r="L22">
            <v>28530</v>
          </cell>
          <cell r="M22">
            <v>2428</v>
          </cell>
          <cell r="N22">
            <v>107615</v>
          </cell>
          <cell r="O22">
            <v>3100</v>
          </cell>
          <cell r="P22">
            <v>27000</v>
          </cell>
          <cell r="Q22">
            <v>12500</v>
          </cell>
          <cell r="R22">
            <v>74185</v>
          </cell>
          <cell r="S22">
            <v>734000</v>
          </cell>
          <cell r="T22">
            <v>216473</v>
          </cell>
          <cell r="U22">
            <v>35246</v>
          </cell>
          <cell r="V22">
            <v>8700</v>
          </cell>
          <cell r="W22">
            <v>105220</v>
          </cell>
          <cell r="X22">
            <v>44187</v>
          </cell>
          <cell r="Y22">
            <v>8315</v>
          </cell>
          <cell r="Z22">
            <v>170219</v>
          </cell>
          <cell r="AA22">
            <v>27000</v>
          </cell>
          <cell r="AB22">
            <v>131605</v>
          </cell>
          <cell r="AC22">
            <v>45212</v>
          </cell>
          <cell r="AD22">
            <v>55289</v>
          </cell>
          <cell r="AE22">
            <v>5620</v>
          </cell>
          <cell r="AF22">
            <v>660108</v>
          </cell>
          <cell r="AG22">
            <v>9500</v>
          </cell>
          <cell r="AH22">
            <v>10500</v>
          </cell>
          <cell r="AI22">
            <v>498615</v>
          </cell>
          <cell r="AJ22">
            <v>3010854</v>
          </cell>
          <cell r="AK22">
            <v>917570</v>
          </cell>
          <cell r="AL22">
            <v>34000</v>
          </cell>
          <cell r="AM22">
            <v>16500</v>
          </cell>
          <cell r="AN22">
            <v>119000</v>
          </cell>
          <cell r="AO22">
            <v>248760</v>
          </cell>
          <cell r="AP22">
            <v>22000</v>
          </cell>
          <cell r="AQ22">
            <v>36889</v>
          </cell>
          <cell r="AR22">
            <v>355000</v>
          </cell>
          <cell r="AS22">
            <v>21749</v>
          </cell>
          <cell r="AT22">
            <v>17000</v>
          </cell>
          <cell r="AU22">
            <v>87000</v>
          </cell>
          <cell r="AV22">
            <v>136686</v>
          </cell>
          <cell r="AW22">
            <v>139368</v>
          </cell>
          <cell r="AX22">
            <v>15000</v>
          </cell>
          <cell r="AY22">
            <v>63000</v>
          </cell>
          <cell r="AZ22">
            <v>55000</v>
          </cell>
          <cell r="BA22">
            <v>18777</v>
          </cell>
          <cell r="BB22">
            <v>180500</v>
          </cell>
          <cell r="BC22">
            <v>31149</v>
          </cell>
          <cell r="BD22">
            <v>31000</v>
          </cell>
          <cell r="BE22">
            <v>155000</v>
          </cell>
          <cell r="BF22">
            <v>20200</v>
          </cell>
          <cell r="BG22">
            <v>6500</v>
          </cell>
          <cell r="BH22">
            <v>83396</v>
          </cell>
          <cell r="BI22">
            <v>18003</v>
          </cell>
          <cell r="BJ22">
            <v>1196983</v>
          </cell>
          <cell r="BK22">
            <v>75000</v>
          </cell>
          <cell r="BL22">
            <v>7846</v>
          </cell>
          <cell r="BM22">
            <v>16700</v>
          </cell>
          <cell r="BN22">
            <v>5336</v>
          </cell>
          <cell r="BO22">
            <v>36110</v>
          </cell>
          <cell r="BP22">
            <v>109140</v>
          </cell>
          <cell r="BQ22">
            <v>15000</v>
          </cell>
          <cell r="BR22">
            <v>2503281</v>
          </cell>
          <cell r="BS22">
            <v>432459</v>
          </cell>
          <cell r="BT22">
            <v>17300</v>
          </cell>
          <cell r="BU22">
            <v>156230</v>
          </cell>
          <cell r="BV22">
            <v>50331</v>
          </cell>
          <cell r="BW22">
            <v>11500</v>
          </cell>
          <cell r="BX22">
            <v>7251</v>
          </cell>
          <cell r="BY22">
            <v>9000</v>
          </cell>
          <cell r="BZ22">
            <v>77847</v>
          </cell>
          <cell r="CA22">
            <v>125000</v>
          </cell>
          <cell r="CB22">
            <v>38000</v>
          </cell>
          <cell r="CC22">
            <v>5000</v>
          </cell>
        </row>
        <row r="23">
          <cell r="A23" t="str">
            <v>No seasonal occupacy customers</v>
          </cell>
          <cell r="B23" t="str">
            <v>YNSUM</v>
          </cell>
          <cell r="C23">
            <v>2010</v>
          </cell>
          <cell r="D23">
            <v>3565</v>
          </cell>
          <cell r="E23">
            <v>0</v>
          </cell>
          <cell r="F23">
            <v>0</v>
          </cell>
          <cell r="G23">
            <v>0</v>
          </cell>
          <cell r="H23">
            <v>0</v>
          </cell>
          <cell r="I23">
            <v>0</v>
          </cell>
          <cell r="J23">
            <v>0</v>
          </cell>
          <cell r="K23">
            <v>0</v>
          </cell>
          <cell r="L23">
            <v>0</v>
          </cell>
          <cell r="M23">
            <v>3</v>
          </cell>
          <cell r="N23">
            <v>0</v>
          </cell>
          <cell r="O23">
            <v>0</v>
          </cell>
          <cell r="P23">
            <v>0</v>
          </cell>
          <cell r="Q23">
            <v>0</v>
          </cell>
          <cell r="R23">
            <v>1</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156243</v>
          </cell>
          <cell r="AK23">
            <v>0</v>
          </cell>
          <cell r="AL23">
            <v>832</v>
          </cell>
          <cell r="AM23">
            <v>0</v>
          </cell>
          <cell r="AN23">
            <v>0</v>
          </cell>
          <cell r="AO23">
            <v>0</v>
          </cell>
          <cell r="AP23">
            <v>0</v>
          </cell>
          <cell r="AQ23">
            <v>195</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1595</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2010</v>
          </cell>
          <cell r="D24">
            <v>39570</v>
          </cell>
          <cell r="E24">
            <v>4622</v>
          </cell>
          <cell r="F24">
            <v>141970</v>
          </cell>
          <cell r="G24">
            <v>44355</v>
          </cell>
          <cell r="H24">
            <v>152255</v>
          </cell>
          <cell r="I24">
            <v>273536</v>
          </cell>
          <cell r="J24">
            <v>241182</v>
          </cell>
          <cell r="K24">
            <v>46300</v>
          </cell>
          <cell r="L24">
            <v>26855</v>
          </cell>
          <cell r="M24">
            <v>6531</v>
          </cell>
          <cell r="N24">
            <v>112418</v>
          </cell>
          <cell r="O24">
            <v>1581</v>
          </cell>
          <cell r="P24">
            <v>57125</v>
          </cell>
          <cell r="Q24">
            <v>6862</v>
          </cell>
          <cell r="R24">
            <v>53821</v>
          </cell>
          <cell r="S24">
            <v>1179415</v>
          </cell>
          <cell r="T24">
            <v>390400</v>
          </cell>
          <cell r="U24">
            <v>79525</v>
          </cell>
          <cell r="V24">
            <v>13449</v>
          </cell>
          <cell r="W24">
            <v>88536</v>
          </cell>
          <cell r="X24">
            <v>94400</v>
          </cell>
          <cell r="Y24">
            <v>18000</v>
          </cell>
          <cell r="Z24">
            <v>206940</v>
          </cell>
          <cell r="AA24">
            <v>31678</v>
          </cell>
          <cell r="AB24">
            <v>253725</v>
          </cell>
          <cell r="AC24">
            <v>95666</v>
          </cell>
          <cell r="AD24">
            <v>87789</v>
          </cell>
          <cell r="AE24">
            <v>16576</v>
          </cell>
          <cell r="AF24">
            <v>847591</v>
          </cell>
          <cell r="AG24">
            <v>6133</v>
          </cell>
          <cell r="AH24">
            <v>30183</v>
          </cell>
          <cell r="AI24">
            <v>606690</v>
          </cell>
          <cell r="AJ24">
            <v>4180551</v>
          </cell>
          <cell r="AK24">
            <v>1239498</v>
          </cell>
          <cell r="AL24">
            <v>51327</v>
          </cell>
          <cell r="AM24">
            <v>21034</v>
          </cell>
          <cell r="AN24">
            <v>125098</v>
          </cell>
          <cell r="AO24">
            <v>306685</v>
          </cell>
          <cell r="AP24">
            <v>44096</v>
          </cell>
          <cell r="AQ24">
            <v>39610</v>
          </cell>
          <cell r="AR24">
            <v>516721</v>
          </cell>
          <cell r="AS24">
            <v>33790</v>
          </cell>
          <cell r="AT24">
            <v>35827</v>
          </cell>
          <cell r="AU24">
            <v>122227</v>
          </cell>
          <cell r="AV24">
            <v>120634</v>
          </cell>
          <cell r="AW24">
            <v>196717</v>
          </cell>
          <cell r="AX24">
            <v>30132</v>
          </cell>
          <cell r="AY24">
            <v>85057</v>
          </cell>
          <cell r="AZ24">
            <v>109866</v>
          </cell>
          <cell r="BA24">
            <v>23892</v>
          </cell>
          <cell r="BB24">
            <v>258870</v>
          </cell>
          <cell r="BC24">
            <v>43609</v>
          </cell>
          <cell r="BD24">
            <v>57908</v>
          </cell>
          <cell r="BE24">
            <v>220115</v>
          </cell>
          <cell r="BF24">
            <v>32708</v>
          </cell>
          <cell r="BG24">
            <v>17871</v>
          </cell>
          <cell r="BH24">
            <v>147722</v>
          </cell>
          <cell r="BI24">
            <v>35300</v>
          </cell>
          <cell r="BJ24">
            <v>1380420</v>
          </cell>
          <cell r="BK24">
            <v>141244</v>
          </cell>
          <cell r="BL24">
            <v>17707</v>
          </cell>
          <cell r="BM24">
            <v>29160</v>
          </cell>
          <cell r="BN24">
            <v>17859</v>
          </cell>
          <cell r="BO24">
            <v>50015</v>
          </cell>
          <cell r="BP24">
            <v>176768</v>
          </cell>
          <cell r="BQ24">
            <v>36361</v>
          </cell>
          <cell r="BR24">
            <v>4006799</v>
          </cell>
          <cell r="BS24">
            <v>436342</v>
          </cell>
          <cell r="BT24">
            <v>25352</v>
          </cell>
          <cell r="BU24">
            <v>242686</v>
          </cell>
          <cell r="BV24">
            <v>77653</v>
          </cell>
          <cell r="BW24">
            <v>17452</v>
          </cell>
          <cell r="BX24">
            <v>26132</v>
          </cell>
          <cell r="BY24">
            <v>10019</v>
          </cell>
          <cell r="BZ24">
            <v>89468</v>
          </cell>
          <cell r="CA24">
            <v>153366</v>
          </cell>
          <cell r="CB24">
            <v>61971</v>
          </cell>
          <cell r="CC24">
            <v>12100</v>
          </cell>
        </row>
        <row r="25">
          <cell r="A25" t="str">
            <v>Utility summer max peak load</v>
          </cell>
          <cell r="B25" t="str">
            <v>PEAKS</v>
          </cell>
          <cell r="C25">
            <v>2010</v>
          </cell>
          <cell r="D25">
            <v>27678</v>
          </cell>
          <cell r="E25">
            <v>4103</v>
          </cell>
          <cell r="F25">
            <v>188562</v>
          </cell>
          <cell r="G25">
            <v>46817</v>
          </cell>
          <cell r="H25">
            <v>189600</v>
          </cell>
          <cell r="I25">
            <v>364929</v>
          </cell>
          <cell r="J25">
            <v>302537</v>
          </cell>
          <cell r="K25">
            <v>56200</v>
          </cell>
          <cell r="L25">
            <v>27922</v>
          </cell>
          <cell r="M25">
            <v>4156</v>
          </cell>
          <cell r="N25">
            <v>155132</v>
          </cell>
          <cell r="O25">
            <v>1215</v>
          </cell>
          <cell r="P25">
            <v>51307</v>
          </cell>
          <cell r="Q25">
            <v>6052</v>
          </cell>
          <cell r="R25">
            <v>62277</v>
          </cell>
          <cell r="S25">
            <v>1546600</v>
          </cell>
          <cell r="T25">
            <v>517600</v>
          </cell>
          <cell r="U25">
            <v>74461</v>
          </cell>
          <cell r="V25">
            <v>9350</v>
          </cell>
          <cell r="W25">
            <v>143420</v>
          </cell>
          <cell r="X25">
            <v>103100</v>
          </cell>
          <cell r="Y25">
            <v>13893</v>
          </cell>
          <cell r="Z25">
            <v>154643</v>
          </cell>
          <cell r="AA25">
            <v>57081</v>
          </cell>
          <cell r="AB25">
            <v>285955</v>
          </cell>
          <cell r="AC25">
            <v>98223</v>
          </cell>
          <cell r="AD25">
            <v>107148</v>
          </cell>
          <cell r="AE25">
            <v>13283</v>
          </cell>
          <cell r="AF25">
            <v>1091173</v>
          </cell>
          <cell r="AG25">
            <v>3665</v>
          </cell>
          <cell r="AH25">
            <v>26499</v>
          </cell>
          <cell r="AI25">
            <v>799130</v>
          </cell>
          <cell r="AJ25">
            <v>3479473</v>
          </cell>
          <cell r="AK25">
            <v>1518168</v>
          </cell>
          <cell r="AL25">
            <v>49647</v>
          </cell>
          <cell r="AM25">
            <v>18403</v>
          </cell>
          <cell r="AN25">
            <v>119546</v>
          </cell>
          <cell r="AO25">
            <v>367988</v>
          </cell>
          <cell r="AP25">
            <v>45140</v>
          </cell>
          <cell r="AQ25">
            <v>37000</v>
          </cell>
          <cell r="AR25">
            <v>687625</v>
          </cell>
          <cell r="AS25">
            <v>43268</v>
          </cell>
          <cell r="AT25">
            <v>40302</v>
          </cell>
          <cell r="AU25">
            <v>147307</v>
          </cell>
          <cell r="AV25">
            <v>154388</v>
          </cell>
          <cell r="AW25">
            <v>261045</v>
          </cell>
          <cell r="AX25">
            <v>42306</v>
          </cell>
          <cell r="AY25">
            <v>87941</v>
          </cell>
          <cell r="AZ25">
            <v>93148</v>
          </cell>
          <cell r="BA25">
            <v>22022</v>
          </cell>
          <cell r="BB25">
            <v>354830</v>
          </cell>
          <cell r="BC25">
            <v>47841</v>
          </cell>
          <cell r="BD25">
            <v>55679</v>
          </cell>
          <cell r="BE25">
            <v>214439</v>
          </cell>
          <cell r="BF25">
            <v>33526</v>
          </cell>
          <cell r="BG25">
            <v>13004</v>
          </cell>
          <cell r="BH25">
            <v>150103</v>
          </cell>
          <cell r="BI25">
            <v>48100</v>
          </cell>
          <cell r="BJ25">
            <v>1895989</v>
          </cell>
          <cell r="BK25">
            <v>101492</v>
          </cell>
          <cell r="BL25">
            <v>18705</v>
          </cell>
          <cell r="BM25">
            <v>32187</v>
          </cell>
          <cell r="BN25">
            <v>11303</v>
          </cell>
          <cell r="BO25">
            <v>62047</v>
          </cell>
          <cell r="BP25">
            <v>155411</v>
          </cell>
          <cell r="BQ25">
            <v>41632</v>
          </cell>
          <cell r="BR25">
            <v>4785876</v>
          </cell>
          <cell r="BS25">
            <v>509726</v>
          </cell>
          <cell r="BT25">
            <v>27340</v>
          </cell>
          <cell r="BU25">
            <v>283517</v>
          </cell>
          <cell r="BV25">
            <v>96028</v>
          </cell>
          <cell r="BW25">
            <v>16834</v>
          </cell>
          <cell r="BX25">
            <v>25975</v>
          </cell>
          <cell r="BY25">
            <v>11100</v>
          </cell>
          <cell r="BZ25">
            <v>72813</v>
          </cell>
          <cell r="CA25">
            <v>191768</v>
          </cell>
          <cell r="CB25">
            <v>74659</v>
          </cell>
          <cell r="CC25">
            <v>11400</v>
          </cell>
        </row>
        <row r="26">
          <cell r="A26" t="str">
            <v>Utility average peak load</v>
          </cell>
          <cell r="B26" t="str">
            <v>PEAKA</v>
          </cell>
          <cell r="C26">
            <v>2010</v>
          </cell>
          <cell r="D26">
            <v>29484</v>
          </cell>
          <cell r="E26">
            <v>3922</v>
          </cell>
          <cell r="F26">
            <v>123750</v>
          </cell>
          <cell r="G26">
            <v>42630</v>
          </cell>
          <cell r="H26">
            <v>152836</v>
          </cell>
          <cell r="I26">
            <v>284725</v>
          </cell>
          <cell r="J26">
            <v>246993</v>
          </cell>
          <cell r="K26">
            <v>42300</v>
          </cell>
          <cell r="L26">
            <v>25229</v>
          </cell>
          <cell r="M26">
            <v>4430</v>
          </cell>
          <cell r="N26">
            <v>120387</v>
          </cell>
          <cell r="O26">
            <v>1067</v>
          </cell>
          <cell r="P26">
            <v>48942</v>
          </cell>
          <cell r="Q26">
            <v>5680</v>
          </cell>
          <cell r="R26">
            <v>47798</v>
          </cell>
          <cell r="S26">
            <v>1245655</v>
          </cell>
          <cell r="T26">
            <v>412217</v>
          </cell>
          <cell r="U26">
            <v>67026</v>
          </cell>
          <cell r="V26">
            <v>10212</v>
          </cell>
          <cell r="W26">
            <v>100033</v>
          </cell>
          <cell r="X26">
            <v>91920</v>
          </cell>
          <cell r="Y26">
            <v>13223</v>
          </cell>
          <cell r="Z26">
            <v>157619</v>
          </cell>
          <cell r="AA26">
            <v>35796</v>
          </cell>
          <cell r="AB26">
            <v>251630</v>
          </cell>
          <cell r="AC26">
            <v>83121</v>
          </cell>
          <cell r="AD26">
            <v>58735</v>
          </cell>
          <cell r="AE26">
            <v>13181</v>
          </cell>
          <cell r="AF26">
            <v>888654</v>
          </cell>
          <cell r="AG26">
            <v>4170</v>
          </cell>
          <cell r="AH26">
            <v>25613</v>
          </cell>
          <cell r="AI26">
            <v>631114</v>
          </cell>
          <cell r="AJ26">
            <v>3210827</v>
          </cell>
          <cell r="AK26">
            <v>1228007</v>
          </cell>
          <cell r="AL26">
            <v>44322</v>
          </cell>
          <cell r="AM26">
            <v>17198</v>
          </cell>
          <cell r="AN26">
            <v>112901</v>
          </cell>
          <cell r="AO26">
            <v>304495</v>
          </cell>
          <cell r="AP26">
            <v>40886</v>
          </cell>
          <cell r="AQ26">
            <v>34201</v>
          </cell>
          <cell r="AR26">
            <v>545926</v>
          </cell>
          <cell r="AS26">
            <v>34966</v>
          </cell>
          <cell r="AT26">
            <v>34743</v>
          </cell>
          <cell r="AU26">
            <v>121227</v>
          </cell>
          <cell r="AV26">
            <v>118447</v>
          </cell>
          <cell r="AW26">
            <v>202194</v>
          </cell>
          <cell r="AX26">
            <v>30859</v>
          </cell>
          <cell r="AY26">
            <v>67063</v>
          </cell>
          <cell r="AZ26">
            <v>91490</v>
          </cell>
          <cell r="BA26">
            <v>21015</v>
          </cell>
          <cell r="BB26">
            <v>271682</v>
          </cell>
          <cell r="BC26">
            <v>41559</v>
          </cell>
          <cell r="BD26">
            <v>50620</v>
          </cell>
          <cell r="BE26">
            <v>188605</v>
          </cell>
          <cell r="BF26">
            <v>27868</v>
          </cell>
          <cell r="BG26">
            <v>13840</v>
          </cell>
          <cell r="BH26">
            <v>135507</v>
          </cell>
          <cell r="BI26">
            <v>35500</v>
          </cell>
          <cell r="BJ26">
            <v>1447917</v>
          </cell>
          <cell r="BK26">
            <v>108859</v>
          </cell>
          <cell r="BL26">
            <v>16459</v>
          </cell>
          <cell r="BM26">
            <v>21989</v>
          </cell>
          <cell r="BN26">
            <v>12538</v>
          </cell>
          <cell r="BO26">
            <v>50812</v>
          </cell>
          <cell r="BP26">
            <v>150088</v>
          </cell>
          <cell r="BQ26">
            <v>35707</v>
          </cell>
          <cell r="BR26">
            <v>4039475</v>
          </cell>
          <cell r="BS26">
            <v>420423</v>
          </cell>
          <cell r="BT26">
            <v>21364</v>
          </cell>
          <cell r="BU26">
            <v>238015</v>
          </cell>
          <cell r="BV26">
            <v>79467</v>
          </cell>
          <cell r="BW26">
            <v>16134</v>
          </cell>
          <cell r="BX26">
            <v>23838</v>
          </cell>
          <cell r="BY26">
            <v>9961</v>
          </cell>
          <cell r="BZ26">
            <v>73257</v>
          </cell>
          <cell r="CA26">
            <v>152499</v>
          </cell>
          <cell r="CB26">
            <v>61426</v>
          </cell>
          <cell r="CC26">
            <v>10500</v>
          </cell>
        </row>
        <row r="27">
          <cell r="A27" t="str">
            <v>Total circuit kms of line</v>
          </cell>
          <cell r="B27" t="str">
            <v>KMC</v>
          </cell>
          <cell r="C27">
            <v>2010</v>
          </cell>
          <cell r="D27">
            <v>1848</v>
          </cell>
          <cell r="E27">
            <v>92</v>
          </cell>
          <cell r="F27">
            <v>752</v>
          </cell>
          <cell r="G27">
            <v>320</v>
          </cell>
          <cell r="H27">
            <v>508</v>
          </cell>
          <cell r="I27">
            <v>1727</v>
          </cell>
          <cell r="J27">
            <v>1111</v>
          </cell>
          <cell r="K27">
            <v>527</v>
          </cell>
          <cell r="L27">
            <v>147</v>
          </cell>
          <cell r="M27">
            <v>27</v>
          </cell>
          <cell r="N27">
            <v>883</v>
          </cell>
          <cell r="O27">
            <v>21</v>
          </cell>
          <cell r="P27">
            <v>339</v>
          </cell>
          <cell r="Q27">
            <v>27</v>
          </cell>
          <cell r="R27">
            <v>149</v>
          </cell>
          <cell r="S27">
            <v>5167</v>
          </cell>
          <cell r="T27">
            <v>1179</v>
          </cell>
          <cell r="U27">
            <v>270</v>
          </cell>
          <cell r="V27">
            <v>137</v>
          </cell>
          <cell r="W27">
            <v>476</v>
          </cell>
          <cell r="X27">
            <v>277</v>
          </cell>
          <cell r="Y27">
            <v>84</v>
          </cell>
          <cell r="Z27">
            <v>944</v>
          </cell>
          <cell r="AA27">
            <v>241</v>
          </cell>
          <cell r="AB27">
            <v>1065</v>
          </cell>
          <cell r="AC27">
            <v>1723</v>
          </cell>
          <cell r="AD27">
            <v>1404</v>
          </cell>
          <cell r="AE27">
            <v>68</v>
          </cell>
          <cell r="AF27">
            <v>3415</v>
          </cell>
          <cell r="AG27">
            <v>21</v>
          </cell>
          <cell r="AH27">
            <v>66</v>
          </cell>
          <cell r="AI27">
            <v>2823</v>
          </cell>
          <cell r="AJ27">
            <v>120921</v>
          </cell>
          <cell r="AK27">
            <v>5414</v>
          </cell>
          <cell r="AL27">
            <v>753</v>
          </cell>
          <cell r="AM27">
            <v>98</v>
          </cell>
          <cell r="AN27">
            <v>361</v>
          </cell>
          <cell r="AO27">
            <v>1866</v>
          </cell>
          <cell r="AP27">
            <v>115</v>
          </cell>
          <cell r="AQ27">
            <v>355</v>
          </cell>
          <cell r="AR27">
            <v>2774</v>
          </cell>
          <cell r="AS27">
            <v>125</v>
          </cell>
          <cell r="AT27">
            <v>149</v>
          </cell>
          <cell r="AU27">
            <v>938</v>
          </cell>
          <cell r="AV27">
            <v>1071</v>
          </cell>
          <cell r="AW27">
            <v>1950</v>
          </cell>
          <cell r="AX27">
            <v>342</v>
          </cell>
          <cell r="AY27">
            <v>768</v>
          </cell>
          <cell r="AZ27">
            <v>611</v>
          </cell>
          <cell r="BA27">
            <v>370</v>
          </cell>
          <cell r="BB27">
            <v>1439</v>
          </cell>
          <cell r="BC27">
            <v>176</v>
          </cell>
          <cell r="BD27">
            <v>313</v>
          </cell>
          <cell r="BE27">
            <v>955</v>
          </cell>
          <cell r="BF27">
            <v>148</v>
          </cell>
          <cell r="BG27">
            <v>129</v>
          </cell>
          <cell r="BH27">
            <v>552</v>
          </cell>
          <cell r="BI27">
            <v>315</v>
          </cell>
          <cell r="BJ27">
            <v>7381</v>
          </cell>
          <cell r="BK27">
            <v>733</v>
          </cell>
          <cell r="BL27">
            <v>55</v>
          </cell>
          <cell r="BM27">
            <v>94</v>
          </cell>
          <cell r="BN27">
            <v>211</v>
          </cell>
          <cell r="BO27">
            <v>247</v>
          </cell>
          <cell r="BP27">
            <v>1178</v>
          </cell>
          <cell r="BQ27">
            <v>156</v>
          </cell>
          <cell r="BR27">
            <v>9990</v>
          </cell>
          <cell r="BS27">
            <v>2301</v>
          </cell>
          <cell r="BT27">
            <v>240</v>
          </cell>
          <cell r="BU27">
            <v>1547</v>
          </cell>
          <cell r="BV27">
            <v>441</v>
          </cell>
          <cell r="BW27">
            <v>76</v>
          </cell>
          <cell r="BX27">
            <v>65</v>
          </cell>
          <cell r="BY27">
            <v>36</v>
          </cell>
          <cell r="BZ27">
            <v>515</v>
          </cell>
          <cell r="CA27">
            <v>1051</v>
          </cell>
          <cell r="CB27">
            <v>248</v>
          </cell>
          <cell r="CC27">
            <v>177</v>
          </cell>
        </row>
        <row r="28">
          <cell r="A28" t="str">
            <v>Overhead circuit kms of line</v>
          </cell>
          <cell r="B28" t="str">
            <v>KMCO</v>
          </cell>
          <cell r="C28">
            <v>2010</v>
          </cell>
          <cell r="D28">
            <v>1844</v>
          </cell>
          <cell r="E28">
            <v>92</v>
          </cell>
          <cell r="F28">
            <v>574</v>
          </cell>
          <cell r="G28">
            <v>282</v>
          </cell>
          <cell r="H28">
            <v>266</v>
          </cell>
          <cell r="I28">
            <v>886</v>
          </cell>
          <cell r="J28">
            <v>708</v>
          </cell>
          <cell r="K28">
            <v>482</v>
          </cell>
          <cell r="L28">
            <v>78</v>
          </cell>
          <cell r="M28">
            <v>26</v>
          </cell>
          <cell r="N28">
            <v>599</v>
          </cell>
          <cell r="O28">
            <v>17</v>
          </cell>
          <cell r="P28">
            <v>211</v>
          </cell>
          <cell r="Q28">
            <v>15</v>
          </cell>
          <cell r="R28">
            <v>89</v>
          </cell>
          <cell r="S28">
            <v>1807</v>
          </cell>
          <cell r="T28">
            <v>713</v>
          </cell>
          <cell r="U28">
            <v>212</v>
          </cell>
          <cell r="V28">
            <v>126</v>
          </cell>
          <cell r="W28">
            <v>217</v>
          </cell>
          <cell r="X28">
            <v>185</v>
          </cell>
          <cell r="Y28">
            <v>76</v>
          </cell>
          <cell r="Z28">
            <v>731</v>
          </cell>
          <cell r="AA28">
            <v>173</v>
          </cell>
          <cell r="AB28">
            <v>427</v>
          </cell>
          <cell r="AC28">
            <v>1634</v>
          </cell>
          <cell r="AD28">
            <v>859</v>
          </cell>
          <cell r="AE28">
            <v>57</v>
          </cell>
          <cell r="AF28">
            <v>1543</v>
          </cell>
          <cell r="AG28">
            <v>18</v>
          </cell>
          <cell r="AH28">
            <v>56</v>
          </cell>
          <cell r="AI28">
            <v>806</v>
          </cell>
          <cell r="AJ28">
            <v>116656</v>
          </cell>
          <cell r="AK28">
            <v>2693</v>
          </cell>
          <cell r="AL28">
            <v>613</v>
          </cell>
          <cell r="AM28">
            <v>88</v>
          </cell>
          <cell r="AN28">
            <v>233</v>
          </cell>
          <cell r="AO28">
            <v>1042</v>
          </cell>
          <cell r="AP28">
            <v>95</v>
          </cell>
          <cell r="AQ28">
            <v>288</v>
          </cell>
          <cell r="AR28">
            <v>1364</v>
          </cell>
          <cell r="AS28">
            <v>99</v>
          </cell>
          <cell r="AT28">
            <v>111</v>
          </cell>
          <cell r="AU28">
            <v>576</v>
          </cell>
          <cell r="AV28">
            <v>589</v>
          </cell>
          <cell r="AW28">
            <v>1471</v>
          </cell>
          <cell r="AX28">
            <v>241</v>
          </cell>
          <cell r="AY28">
            <v>660</v>
          </cell>
          <cell r="AZ28">
            <v>514</v>
          </cell>
          <cell r="BA28">
            <v>365</v>
          </cell>
          <cell r="BB28">
            <v>553</v>
          </cell>
          <cell r="BC28">
            <v>103</v>
          </cell>
          <cell r="BD28">
            <v>248</v>
          </cell>
          <cell r="BE28">
            <v>562</v>
          </cell>
          <cell r="BF28">
            <v>129</v>
          </cell>
          <cell r="BG28">
            <v>118</v>
          </cell>
          <cell r="BH28">
            <v>384</v>
          </cell>
          <cell r="BI28">
            <v>298</v>
          </cell>
          <cell r="BJ28">
            <v>2551</v>
          </cell>
          <cell r="BK28">
            <v>616</v>
          </cell>
          <cell r="BL28">
            <v>53</v>
          </cell>
          <cell r="BM28">
            <v>84</v>
          </cell>
          <cell r="BN28">
            <v>205</v>
          </cell>
          <cell r="BO28">
            <v>158</v>
          </cell>
          <cell r="BP28">
            <v>944</v>
          </cell>
          <cell r="BQ28">
            <v>102</v>
          </cell>
          <cell r="BR28">
            <v>4214</v>
          </cell>
          <cell r="BS28">
            <v>1274</v>
          </cell>
          <cell r="BT28">
            <v>125</v>
          </cell>
          <cell r="BU28">
            <v>1059</v>
          </cell>
          <cell r="BV28">
            <v>329</v>
          </cell>
          <cell r="BW28">
            <v>66</v>
          </cell>
          <cell r="BX28">
            <v>52</v>
          </cell>
          <cell r="BY28">
            <v>25</v>
          </cell>
          <cell r="BZ28">
            <v>371</v>
          </cell>
          <cell r="CA28">
            <v>499</v>
          </cell>
          <cell r="CB28">
            <v>155</v>
          </cell>
          <cell r="CC28">
            <v>167</v>
          </cell>
        </row>
        <row r="29">
          <cell r="A29" t="str">
            <v>Underground circuit kms ofline</v>
          </cell>
          <cell r="B29" t="str">
            <v>KMCU</v>
          </cell>
          <cell r="C29">
            <v>2010</v>
          </cell>
          <cell r="D29">
            <v>4</v>
          </cell>
          <cell r="E29">
            <v>0</v>
          </cell>
          <cell r="F29">
            <v>178</v>
          </cell>
          <cell r="G29">
            <v>38</v>
          </cell>
          <cell r="H29">
            <v>242</v>
          </cell>
          <cell r="I29">
            <v>841</v>
          </cell>
          <cell r="J29">
            <v>403</v>
          </cell>
          <cell r="K29">
            <v>45</v>
          </cell>
          <cell r="L29">
            <v>69</v>
          </cell>
          <cell r="M29">
            <v>1</v>
          </cell>
          <cell r="N29">
            <v>284</v>
          </cell>
          <cell r="O29">
            <v>4</v>
          </cell>
          <cell r="P29">
            <v>128</v>
          </cell>
          <cell r="Q29">
            <v>12</v>
          </cell>
          <cell r="R29">
            <v>60</v>
          </cell>
          <cell r="S29">
            <v>3360</v>
          </cell>
          <cell r="T29">
            <v>466</v>
          </cell>
          <cell r="U29">
            <v>58</v>
          </cell>
          <cell r="V29">
            <v>11</v>
          </cell>
          <cell r="W29">
            <v>259</v>
          </cell>
          <cell r="X29">
            <v>92</v>
          </cell>
          <cell r="Y29">
            <v>8</v>
          </cell>
          <cell r="Z29">
            <v>213</v>
          </cell>
          <cell r="AA29">
            <v>68</v>
          </cell>
          <cell r="AB29">
            <v>638</v>
          </cell>
          <cell r="AC29">
            <v>89</v>
          </cell>
          <cell r="AD29">
            <v>545</v>
          </cell>
          <cell r="AE29">
            <v>11</v>
          </cell>
          <cell r="AF29">
            <v>1872</v>
          </cell>
          <cell r="AG29">
            <v>3</v>
          </cell>
          <cell r="AH29">
            <v>10</v>
          </cell>
          <cell r="AI29">
            <v>2017</v>
          </cell>
          <cell r="AJ29">
            <v>4265</v>
          </cell>
          <cell r="AK29">
            <v>2721</v>
          </cell>
          <cell r="AL29">
            <v>140</v>
          </cell>
          <cell r="AM29">
            <v>10</v>
          </cell>
          <cell r="AN29">
            <v>128</v>
          </cell>
          <cell r="AO29">
            <v>824</v>
          </cell>
          <cell r="AP29">
            <v>20</v>
          </cell>
          <cell r="AQ29">
            <v>67</v>
          </cell>
          <cell r="AR29">
            <v>1410</v>
          </cell>
          <cell r="AS29">
            <v>26</v>
          </cell>
          <cell r="AT29">
            <v>38</v>
          </cell>
          <cell r="AU29">
            <v>362</v>
          </cell>
          <cell r="AV29">
            <v>482</v>
          </cell>
          <cell r="AW29">
            <v>479</v>
          </cell>
          <cell r="AX29">
            <v>101</v>
          </cell>
          <cell r="AY29">
            <v>108</v>
          </cell>
          <cell r="AZ29">
            <v>97</v>
          </cell>
          <cell r="BA29">
            <v>5</v>
          </cell>
          <cell r="BB29">
            <v>886</v>
          </cell>
          <cell r="BC29">
            <v>73</v>
          </cell>
          <cell r="BD29">
            <v>65</v>
          </cell>
          <cell r="BE29">
            <v>393</v>
          </cell>
          <cell r="BF29">
            <v>19</v>
          </cell>
          <cell r="BG29">
            <v>11</v>
          </cell>
          <cell r="BH29">
            <v>168</v>
          </cell>
          <cell r="BI29">
            <v>17</v>
          </cell>
          <cell r="BJ29">
            <v>4830</v>
          </cell>
          <cell r="BK29">
            <v>117</v>
          </cell>
          <cell r="BL29">
            <v>2</v>
          </cell>
          <cell r="BM29">
            <v>10</v>
          </cell>
          <cell r="BN29">
            <v>6</v>
          </cell>
          <cell r="BO29">
            <v>89</v>
          </cell>
          <cell r="BP29">
            <v>234</v>
          </cell>
          <cell r="BQ29">
            <v>54</v>
          </cell>
          <cell r="BR29">
            <v>5776</v>
          </cell>
          <cell r="BS29">
            <v>1027</v>
          </cell>
          <cell r="BT29">
            <v>115</v>
          </cell>
          <cell r="BU29">
            <v>488</v>
          </cell>
          <cell r="BV29">
            <v>112</v>
          </cell>
          <cell r="BW29">
            <v>10</v>
          </cell>
          <cell r="BX29">
            <v>13</v>
          </cell>
          <cell r="BY29">
            <v>11</v>
          </cell>
          <cell r="BZ29">
            <v>144</v>
          </cell>
          <cell r="CA29">
            <v>552</v>
          </cell>
          <cell r="CB29">
            <v>93</v>
          </cell>
          <cell r="CC29">
            <v>10</v>
          </cell>
        </row>
        <row r="30">
          <cell r="A30" t="str">
            <v>Circuit kilometers 3 phase</v>
          </cell>
          <cell r="B30" t="str">
            <v>KMC3</v>
          </cell>
          <cell r="C30">
            <v>2010</v>
          </cell>
          <cell r="D30">
            <v>442</v>
          </cell>
          <cell r="E30">
            <v>47</v>
          </cell>
          <cell r="F30">
            <v>418</v>
          </cell>
          <cell r="G30">
            <v>167</v>
          </cell>
          <cell r="H30">
            <v>230</v>
          </cell>
          <cell r="I30">
            <v>765</v>
          </cell>
          <cell r="J30">
            <v>435</v>
          </cell>
          <cell r="K30">
            <v>317</v>
          </cell>
          <cell r="L30">
            <v>70</v>
          </cell>
          <cell r="M30">
            <v>16</v>
          </cell>
          <cell r="N30">
            <v>544</v>
          </cell>
          <cell r="O30">
            <v>10</v>
          </cell>
          <cell r="P30">
            <v>166</v>
          </cell>
          <cell r="Q30">
            <v>12</v>
          </cell>
          <cell r="R30">
            <v>73</v>
          </cell>
          <cell r="S30">
            <v>3079</v>
          </cell>
          <cell r="T30">
            <v>569</v>
          </cell>
          <cell r="U30">
            <v>146</v>
          </cell>
          <cell r="V30">
            <v>31</v>
          </cell>
          <cell r="W30">
            <v>167</v>
          </cell>
          <cell r="X30">
            <v>148</v>
          </cell>
          <cell r="Y30">
            <v>48</v>
          </cell>
          <cell r="Z30">
            <v>547</v>
          </cell>
          <cell r="AA30">
            <v>103</v>
          </cell>
          <cell r="AB30">
            <v>481</v>
          </cell>
          <cell r="AC30">
            <v>603</v>
          </cell>
          <cell r="AD30">
            <v>385</v>
          </cell>
          <cell r="AE30">
            <v>27</v>
          </cell>
          <cell r="AF30">
            <v>1783</v>
          </cell>
          <cell r="AG30">
            <v>10</v>
          </cell>
          <cell r="AH30">
            <v>42</v>
          </cell>
          <cell r="AI30">
            <v>1195</v>
          </cell>
          <cell r="AJ30">
            <v>45623</v>
          </cell>
          <cell r="AK30">
            <v>2973</v>
          </cell>
          <cell r="AL30">
            <v>346</v>
          </cell>
          <cell r="AM30">
            <v>61</v>
          </cell>
          <cell r="AN30">
            <v>257</v>
          </cell>
          <cell r="AO30">
            <v>793</v>
          </cell>
          <cell r="AP30">
            <v>76</v>
          </cell>
          <cell r="AQ30">
            <v>171</v>
          </cell>
          <cell r="AR30">
            <v>1312</v>
          </cell>
          <cell r="AS30">
            <v>67</v>
          </cell>
          <cell r="AT30">
            <v>112</v>
          </cell>
          <cell r="AU30">
            <v>468</v>
          </cell>
          <cell r="AV30">
            <v>331</v>
          </cell>
          <cell r="AW30">
            <v>868</v>
          </cell>
          <cell r="AX30">
            <v>176</v>
          </cell>
          <cell r="AY30">
            <v>344</v>
          </cell>
          <cell r="AZ30">
            <v>361</v>
          </cell>
          <cell r="BA30">
            <v>200</v>
          </cell>
          <cell r="BB30">
            <v>740</v>
          </cell>
          <cell r="BC30">
            <v>97</v>
          </cell>
          <cell r="BD30">
            <v>225</v>
          </cell>
          <cell r="BE30">
            <v>359</v>
          </cell>
          <cell r="BF30">
            <v>96</v>
          </cell>
          <cell r="BG30">
            <v>84</v>
          </cell>
          <cell r="BH30">
            <v>345</v>
          </cell>
          <cell r="BI30">
            <v>177</v>
          </cell>
          <cell r="BJ30">
            <v>3455</v>
          </cell>
          <cell r="BK30">
            <v>460</v>
          </cell>
          <cell r="BL30">
            <v>34</v>
          </cell>
          <cell r="BM30">
            <v>51</v>
          </cell>
          <cell r="BN30">
            <v>72</v>
          </cell>
          <cell r="BO30">
            <v>141</v>
          </cell>
          <cell r="BP30">
            <v>632</v>
          </cell>
          <cell r="BQ30">
            <v>72</v>
          </cell>
          <cell r="BR30">
            <v>6094</v>
          </cell>
          <cell r="BS30">
            <v>1139</v>
          </cell>
          <cell r="BT30">
            <v>102</v>
          </cell>
          <cell r="BU30">
            <v>709</v>
          </cell>
          <cell r="BV30">
            <v>286</v>
          </cell>
          <cell r="BW30">
            <v>47</v>
          </cell>
          <cell r="BX30">
            <v>44</v>
          </cell>
          <cell r="BY30">
            <v>18</v>
          </cell>
          <cell r="BZ30">
            <v>307</v>
          </cell>
          <cell r="CA30">
            <v>475</v>
          </cell>
          <cell r="CB30">
            <v>163</v>
          </cell>
          <cell r="CC30">
            <v>106</v>
          </cell>
        </row>
        <row r="31">
          <cell r="A31" t="str">
            <v>Circuit kilometers 2 phase</v>
          </cell>
          <cell r="B31" t="str">
            <v>KMC2</v>
          </cell>
          <cell r="C31">
            <v>2010</v>
          </cell>
          <cell r="D31">
            <v>38</v>
          </cell>
          <cell r="E31">
            <v>0</v>
          </cell>
          <cell r="F31">
            <v>7</v>
          </cell>
          <cell r="G31">
            <v>8</v>
          </cell>
          <cell r="H31">
            <v>0</v>
          </cell>
          <cell r="I31">
            <v>0</v>
          </cell>
          <cell r="J31">
            <v>0</v>
          </cell>
          <cell r="K31">
            <v>89</v>
          </cell>
          <cell r="L31">
            <v>0</v>
          </cell>
          <cell r="M31">
            <v>2</v>
          </cell>
          <cell r="N31">
            <v>1</v>
          </cell>
          <cell r="O31">
            <v>1</v>
          </cell>
          <cell r="P31">
            <v>5</v>
          </cell>
          <cell r="Q31">
            <v>1</v>
          </cell>
          <cell r="R31">
            <v>2</v>
          </cell>
          <cell r="S31">
            <v>103</v>
          </cell>
          <cell r="T31">
            <v>2</v>
          </cell>
          <cell r="U31">
            <v>2</v>
          </cell>
          <cell r="V31">
            <v>1</v>
          </cell>
          <cell r="W31">
            <v>0</v>
          </cell>
          <cell r="X31">
            <v>6</v>
          </cell>
          <cell r="Y31">
            <v>8</v>
          </cell>
          <cell r="Z31">
            <v>0</v>
          </cell>
          <cell r="AA31">
            <v>1</v>
          </cell>
          <cell r="AB31">
            <v>0</v>
          </cell>
          <cell r="AC31">
            <v>30</v>
          </cell>
          <cell r="AD31">
            <v>0</v>
          </cell>
          <cell r="AE31">
            <v>0</v>
          </cell>
          <cell r="AF31">
            <v>21</v>
          </cell>
          <cell r="AG31">
            <v>2</v>
          </cell>
          <cell r="AH31">
            <v>0</v>
          </cell>
          <cell r="AI31">
            <v>21</v>
          </cell>
          <cell r="AJ31">
            <v>3616</v>
          </cell>
          <cell r="AK31">
            <v>166</v>
          </cell>
          <cell r="AL31">
            <v>4</v>
          </cell>
          <cell r="AM31">
            <v>0</v>
          </cell>
          <cell r="AN31">
            <v>0</v>
          </cell>
          <cell r="AO31">
            <v>0</v>
          </cell>
          <cell r="AP31">
            <v>0</v>
          </cell>
          <cell r="AQ31">
            <v>9</v>
          </cell>
          <cell r="AR31">
            <v>0</v>
          </cell>
          <cell r="AS31">
            <v>2</v>
          </cell>
          <cell r="AT31">
            <v>0</v>
          </cell>
          <cell r="AU31">
            <v>23</v>
          </cell>
          <cell r="AV31">
            <v>7</v>
          </cell>
          <cell r="AW31">
            <v>2</v>
          </cell>
          <cell r="AX31">
            <v>2</v>
          </cell>
          <cell r="AY31">
            <v>0</v>
          </cell>
          <cell r="AZ31">
            <v>0</v>
          </cell>
          <cell r="BA31">
            <v>0</v>
          </cell>
          <cell r="BB31">
            <v>0</v>
          </cell>
          <cell r="BC31">
            <v>0</v>
          </cell>
          <cell r="BD31">
            <v>6</v>
          </cell>
          <cell r="BE31">
            <v>0</v>
          </cell>
          <cell r="BF31">
            <v>1</v>
          </cell>
          <cell r="BG31">
            <v>0</v>
          </cell>
          <cell r="BH31">
            <v>7</v>
          </cell>
          <cell r="BI31">
            <v>0</v>
          </cell>
          <cell r="BJ31">
            <v>119</v>
          </cell>
          <cell r="BK31">
            <v>10</v>
          </cell>
          <cell r="BL31">
            <v>1</v>
          </cell>
          <cell r="BM31">
            <v>0</v>
          </cell>
          <cell r="BN31">
            <v>0</v>
          </cell>
          <cell r="BO31">
            <v>12</v>
          </cell>
          <cell r="BP31">
            <v>0</v>
          </cell>
          <cell r="BQ31">
            <v>0</v>
          </cell>
          <cell r="BR31">
            <v>90</v>
          </cell>
          <cell r="BS31">
            <v>17</v>
          </cell>
          <cell r="BT31">
            <v>9</v>
          </cell>
          <cell r="BU31">
            <v>7</v>
          </cell>
          <cell r="BV31">
            <v>0</v>
          </cell>
          <cell r="BW31">
            <v>0</v>
          </cell>
          <cell r="BX31">
            <v>0</v>
          </cell>
          <cell r="BY31">
            <v>0</v>
          </cell>
          <cell r="BZ31">
            <v>1</v>
          </cell>
          <cell r="CA31">
            <v>13</v>
          </cell>
          <cell r="CB31">
            <v>3</v>
          </cell>
          <cell r="CC31">
            <v>9</v>
          </cell>
        </row>
        <row r="32">
          <cell r="A32" t="str">
            <v>Circuit kms single phase</v>
          </cell>
          <cell r="B32" t="str">
            <v>KMC1</v>
          </cell>
          <cell r="C32">
            <v>2010</v>
          </cell>
          <cell r="D32">
            <v>1368</v>
          </cell>
          <cell r="E32">
            <v>45</v>
          </cell>
          <cell r="F32">
            <v>327</v>
          </cell>
          <cell r="G32">
            <v>145</v>
          </cell>
          <cell r="H32">
            <v>278</v>
          </cell>
          <cell r="I32">
            <v>962</v>
          </cell>
          <cell r="J32">
            <v>676</v>
          </cell>
          <cell r="K32">
            <v>121</v>
          </cell>
          <cell r="L32">
            <v>77</v>
          </cell>
          <cell r="M32">
            <v>9</v>
          </cell>
          <cell r="N32">
            <v>338</v>
          </cell>
          <cell r="O32">
            <v>10</v>
          </cell>
          <cell r="P32">
            <v>168</v>
          </cell>
          <cell r="Q32">
            <v>14</v>
          </cell>
          <cell r="R32">
            <v>74</v>
          </cell>
          <cell r="S32">
            <v>1985</v>
          </cell>
          <cell r="T32">
            <v>608</v>
          </cell>
          <cell r="U32">
            <v>122</v>
          </cell>
          <cell r="V32">
            <v>105</v>
          </cell>
          <cell r="W32">
            <v>309</v>
          </cell>
          <cell r="X32">
            <v>123</v>
          </cell>
          <cell r="Y32">
            <v>28</v>
          </cell>
          <cell r="Z32">
            <v>397</v>
          </cell>
          <cell r="AA32">
            <v>137</v>
          </cell>
          <cell r="AB32">
            <v>584</v>
          </cell>
          <cell r="AC32">
            <v>1090</v>
          </cell>
          <cell r="AD32">
            <v>1019</v>
          </cell>
          <cell r="AE32">
            <v>41</v>
          </cell>
          <cell r="AF32">
            <v>1611</v>
          </cell>
          <cell r="AG32">
            <v>9</v>
          </cell>
          <cell r="AH32">
            <v>24</v>
          </cell>
          <cell r="AI32">
            <v>1607</v>
          </cell>
          <cell r="AJ32">
            <v>71682</v>
          </cell>
          <cell r="AK32">
            <v>2275</v>
          </cell>
          <cell r="AL32">
            <v>403</v>
          </cell>
          <cell r="AM32">
            <v>37</v>
          </cell>
          <cell r="AN32">
            <v>104</v>
          </cell>
          <cell r="AO32">
            <v>1073</v>
          </cell>
          <cell r="AP32">
            <v>39</v>
          </cell>
          <cell r="AQ32">
            <v>175</v>
          </cell>
          <cell r="AR32">
            <v>1462</v>
          </cell>
          <cell r="AS32">
            <v>56</v>
          </cell>
          <cell r="AT32">
            <v>37</v>
          </cell>
          <cell r="AU32">
            <v>447</v>
          </cell>
          <cell r="AV32">
            <v>733</v>
          </cell>
          <cell r="AW32">
            <v>1080</v>
          </cell>
          <cell r="AX32">
            <v>164</v>
          </cell>
          <cell r="AY32">
            <v>424</v>
          </cell>
          <cell r="AZ32">
            <v>250</v>
          </cell>
          <cell r="BA32">
            <v>170</v>
          </cell>
          <cell r="BB32">
            <v>699</v>
          </cell>
          <cell r="BC32">
            <v>79</v>
          </cell>
          <cell r="BD32">
            <v>82</v>
          </cell>
          <cell r="BE32">
            <v>596</v>
          </cell>
          <cell r="BF32">
            <v>51</v>
          </cell>
          <cell r="BG32">
            <v>45</v>
          </cell>
          <cell r="BH32">
            <v>200</v>
          </cell>
          <cell r="BI32">
            <v>138</v>
          </cell>
          <cell r="BJ32">
            <v>3807</v>
          </cell>
          <cell r="BK32">
            <v>263</v>
          </cell>
          <cell r="BL32">
            <v>20</v>
          </cell>
          <cell r="BM32">
            <v>43</v>
          </cell>
          <cell r="BN32">
            <v>139</v>
          </cell>
          <cell r="BO32">
            <v>94</v>
          </cell>
          <cell r="BP32">
            <v>546</v>
          </cell>
          <cell r="BQ32">
            <v>84</v>
          </cell>
          <cell r="BR32">
            <v>3806</v>
          </cell>
          <cell r="BS32">
            <v>1145</v>
          </cell>
          <cell r="BT32">
            <v>129</v>
          </cell>
          <cell r="BU32">
            <v>831</v>
          </cell>
          <cell r="BV32">
            <v>155</v>
          </cell>
          <cell r="BW32">
            <v>29</v>
          </cell>
          <cell r="BX32">
            <v>21</v>
          </cell>
          <cell r="BY32">
            <v>18</v>
          </cell>
          <cell r="BZ32">
            <v>207</v>
          </cell>
          <cell r="CA32">
            <v>563</v>
          </cell>
          <cell r="CB32">
            <v>82</v>
          </cell>
          <cell r="CC32">
            <v>62</v>
          </cell>
        </row>
        <row r="33">
          <cell r="A33" t="str">
            <v>No transmission transformers</v>
          </cell>
          <cell r="B33" t="str">
            <v>NTRST</v>
          </cell>
          <cell r="C33">
            <v>2010</v>
          </cell>
          <cell r="D33">
            <v>0</v>
          </cell>
          <cell r="E33">
            <v>0</v>
          </cell>
          <cell r="F33">
            <v>0</v>
          </cell>
          <cell r="G33">
            <v>2</v>
          </cell>
          <cell r="H33">
            <v>1</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245</v>
          </cell>
          <cell r="AK33">
            <v>27</v>
          </cell>
          <cell r="AL33">
            <v>0</v>
          </cell>
          <cell r="AM33">
            <v>3</v>
          </cell>
          <cell r="AN33">
            <v>0</v>
          </cell>
          <cell r="AO33">
            <v>18</v>
          </cell>
          <cell r="AP33">
            <v>0</v>
          </cell>
          <cell r="AQ33">
            <v>0</v>
          </cell>
          <cell r="AR33">
            <v>0</v>
          </cell>
          <cell r="AS33">
            <v>0</v>
          </cell>
          <cell r="AT33">
            <v>0</v>
          </cell>
          <cell r="AU33">
            <v>0</v>
          </cell>
          <cell r="AV33">
            <v>0</v>
          </cell>
          <cell r="AW33">
            <v>14</v>
          </cell>
          <cell r="AX33">
            <v>2</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2010</v>
          </cell>
          <cell r="D34">
            <v>21</v>
          </cell>
          <cell r="E34">
            <v>4</v>
          </cell>
          <cell r="F34">
            <v>20</v>
          </cell>
          <cell r="G34">
            <v>3</v>
          </cell>
          <cell r="H34">
            <v>0</v>
          </cell>
          <cell r="I34">
            <v>44</v>
          </cell>
          <cell r="J34">
            <v>0</v>
          </cell>
          <cell r="K34">
            <v>0</v>
          </cell>
          <cell r="L34">
            <v>6</v>
          </cell>
          <cell r="M34">
            <v>0</v>
          </cell>
          <cell r="N34">
            <v>20</v>
          </cell>
          <cell r="O34">
            <v>4</v>
          </cell>
          <cell r="P34">
            <v>14</v>
          </cell>
          <cell r="Q34">
            <v>1</v>
          </cell>
          <cell r="R34">
            <v>0</v>
          </cell>
          <cell r="S34">
            <v>126</v>
          </cell>
          <cell r="T34">
            <v>12</v>
          </cell>
          <cell r="U34">
            <v>10</v>
          </cell>
          <cell r="V34">
            <v>0</v>
          </cell>
          <cell r="W34">
            <v>4</v>
          </cell>
          <cell r="X34">
            <v>4</v>
          </cell>
          <cell r="Y34">
            <v>0</v>
          </cell>
          <cell r="Z34">
            <v>45</v>
          </cell>
          <cell r="AA34">
            <v>0</v>
          </cell>
          <cell r="AB34">
            <v>2</v>
          </cell>
          <cell r="AC34">
            <v>5</v>
          </cell>
          <cell r="AD34">
            <v>12</v>
          </cell>
          <cell r="AE34">
            <v>0</v>
          </cell>
          <cell r="AF34">
            <v>7</v>
          </cell>
          <cell r="AG34">
            <v>0</v>
          </cell>
          <cell r="AH34">
            <v>3</v>
          </cell>
          <cell r="AI34">
            <v>18</v>
          </cell>
          <cell r="AJ34">
            <v>1470</v>
          </cell>
          <cell r="AK34">
            <v>143</v>
          </cell>
          <cell r="AL34">
            <v>17</v>
          </cell>
          <cell r="AM34">
            <v>0</v>
          </cell>
          <cell r="AN34">
            <v>37</v>
          </cell>
          <cell r="AO34">
            <v>7</v>
          </cell>
          <cell r="AP34">
            <v>7</v>
          </cell>
          <cell r="AQ34">
            <v>7</v>
          </cell>
          <cell r="AR34">
            <v>15140</v>
          </cell>
          <cell r="AS34">
            <v>5</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34</v>
          </cell>
          <cell r="BL34">
            <v>5</v>
          </cell>
          <cell r="BM34">
            <v>9</v>
          </cell>
          <cell r="BN34">
            <v>0</v>
          </cell>
          <cell r="BO34">
            <v>0</v>
          </cell>
          <cell r="BP34">
            <v>29</v>
          </cell>
          <cell r="BQ34">
            <v>3</v>
          </cell>
          <cell r="BR34">
            <v>0</v>
          </cell>
          <cell r="BS34">
            <v>65</v>
          </cell>
          <cell r="BT34">
            <v>5</v>
          </cell>
          <cell r="BU34">
            <v>4</v>
          </cell>
          <cell r="BV34">
            <v>609</v>
          </cell>
          <cell r="BW34">
            <v>6</v>
          </cell>
          <cell r="BX34">
            <v>4</v>
          </cell>
          <cell r="BY34">
            <v>1</v>
          </cell>
          <cell r="BZ34">
            <v>27</v>
          </cell>
          <cell r="CA34">
            <v>29</v>
          </cell>
          <cell r="CB34">
            <v>0</v>
          </cell>
          <cell r="CC34">
            <v>8</v>
          </cell>
        </row>
        <row r="35">
          <cell r="A35" t="str">
            <v>No distribution transformers</v>
          </cell>
          <cell r="B35" t="str">
            <v>NTRFD</v>
          </cell>
          <cell r="C35">
            <v>2010</v>
          </cell>
          <cell r="D35">
            <v>4788</v>
          </cell>
          <cell r="E35">
            <v>324</v>
          </cell>
          <cell r="F35">
            <v>5377</v>
          </cell>
          <cell r="G35">
            <v>3300</v>
          </cell>
          <cell r="H35">
            <v>3340</v>
          </cell>
          <cell r="I35">
            <v>8325</v>
          </cell>
          <cell r="J35">
            <v>7479</v>
          </cell>
          <cell r="K35">
            <v>2354</v>
          </cell>
          <cell r="L35">
            <v>836</v>
          </cell>
          <cell r="M35">
            <v>1</v>
          </cell>
          <cell r="N35">
            <v>3858</v>
          </cell>
          <cell r="O35">
            <v>239</v>
          </cell>
          <cell r="P35">
            <v>2149</v>
          </cell>
          <cell r="Q35">
            <v>293</v>
          </cell>
          <cell r="R35">
            <v>1556</v>
          </cell>
          <cell r="S35">
            <v>25237</v>
          </cell>
          <cell r="T35">
            <v>8146</v>
          </cell>
          <cell r="U35">
            <v>1563</v>
          </cell>
          <cell r="V35">
            <v>5</v>
          </cell>
          <cell r="W35">
            <v>3074</v>
          </cell>
          <cell r="X35">
            <v>2445</v>
          </cell>
          <cell r="Y35">
            <v>804</v>
          </cell>
          <cell r="Z35">
            <v>5605</v>
          </cell>
          <cell r="AA35">
            <v>1420</v>
          </cell>
          <cell r="AB35">
            <v>5640</v>
          </cell>
          <cell r="AC35">
            <v>7127</v>
          </cell>
          <cell r="AD35">
            <v>3738</v>
          </cell>
          <cell r="AE35">
            <v>60</v>
          </cell>
          <cell r="AF35">
            <v>46</v>
          </cell>
          <cell r="AG35">
            <v>180</v>
          </cell>
          <cell r="AH35">
            <v>745</v>
          </cell>
          <cell r="AI35">
            <v>15511</v>
          </cell>
          <cell r="AJ35">
            <v>97</v>
          </cell>
          <cell r="AK35">
            <v>42516</v>
          </cell>
          <cell r="AL35">
            <v>3281</v>
          </cell>
          <cell r="AM35">
            <v>688</v>
          </cell>
          <cell r="AN35">
            <v>0</v>
          </cell>
          <cell r="AO35">
            <v>10316</v>
          </cell>
          <cell r="AP35">
            <v>980</v>
          </cell>
          <cell r="AQ35">
            <v>2137</v>
          </cell>
          <cell r="AR35">
            <v>54</v>
          </cell>
          <cell r="AS35">
            <v>1268</v>
          </cell>
          <cell r="AT35">
            <v>1235</v>
          </cell>
          <cell r="AU35">
            <v>4987</v>
          </cell>
          <cell r="AV35">
            <v>4123</v>
          </cell>
          <cell r="AW35">
            <v>9431</v>
          </cell>
          <cell r="AX35">
            <v>1738</v>
          </cell>
          <cell r="AY35">
            <v>4508</v>
          </cell>
          <cell r="AZ35">
            <v>3950</v>
          </cell>
          <cell r="BA35">
            <v>0</v>
          </cell>
          <cell r="BB35">
            <v>8259</v>
          </cell>
          <cell r="BC35">
            <v>1407</v>
          </cell>
          <cell r="BD35">
            <v>1797</v>
          </cell>
          <cell r="BE35">
            <v>6397</v>
          </cell>
          <cell r="BF35">
            <v>1592</v>
          </cell>
          <cell r="BG35">
            <v>687</v>
          </cell>
          <cell r="BH35">
            <v>3858</v>
          </cell>
          <cell r="BI35">
            <v>2057</v>
          </cell>
          <cell r="BJ35">
            <v>40878</v>
          </cell>
          <cell r="BK35">
            <v>6056</v>
          </cell>
          <cell r="BL35">
            <v>645</v>
          </cell>
          <cell r="BM35">
            <v>974</v>
          </cell>
          <cell r="BN35">
            <v>0</v>
          </cell>
          <cell r="BO35">
            <v>1385</v>
          </cell>
          <cell r="BP35">
            <v>7096</v>
          </cell>
          <cell r="BQ35">
            <v>850</v>
          </cell>
          <cell r="BR35">
            <v>60416</v>
          </cell>
          <cell r="BS35">
            <v>16934</v>
          </cell>
          <cell r="BT35">
            <v>1492</v>
          </cell>
          <cell r="BU35">
            <v>17</v>
          </cell>
          <cell r="BV35">
            <v>1969</v>
          </cell>
          <cell r="BW35">
            <v>676</v>
          </cell>
          <cell r="BX35">
            <v>441</v>
          </cell>
          <cell r="BY35">
            <v>240</v>
          </cell>
          <cell r="BZ35">
            <v>2994</v>
          </cell>
          <cell r="CA35">
            <v>5396</v>
          </cell>
          <cell r="CB35">
            <v>1543</v>
          </cell>
          <cell r="CC35">
            <v>775</v>
          </cell>
        </row>
        <row r="36">
          <cell r="A36" t="str">
            <v>Utility average load factor</v>
          </cell>
          <cell r="B36" t="str">
            <v>LF</v>
          </cell>
          <cell r="C36">
            <v>2010</v>
          </cell>
          <cell r="D36">
            <v>77</v>
          </cell>
          <cell r="E36">
            <v>72</v>
          </cell>
          <cell r="F36">
            <v>89</v>
          </cell>
          <cell r="G36">
            <v>0</v>
          </cell>
          <cell r="H36">
            <v>70</v>
          </cell>
          <cell r="I36">
            <v>70</v>
          </cell>
          <cell r="J36">
            <v>71</v>
          </cell>
          <cell r="K36">
            <v>75</v>
          </cell>
          <cell r="L36">
            <v>69</v>
          </cell>
          <cell r="M36">
            <v>73</v>
          </cell>
          <cell r="N36">
            <v>71</v>
          </cell>
          <cell r="O36">
            <v>71</v>
          </cell>
          <cell r="P36">
            <v>77</v>
          </cell>
          <cell r="Q36">
            <v>0</v>
          </cell>
          <cell r="R36">
            <v>0</v>
          </cell>
          <cell r="S36">
            <v>0</v>
          </cell>
          <cell r="T36">
            <v>57</v>
          </cell>
          <cell r="U36">
            <v>72</v>
          </cell>
          <cell r="V36">
            <v>69</v>
          </cell>
          <cell r="W36">
            <v>66</v>
          </cell>
          <cell r="X36">
            <v>89</v>
          </cell>
          <cell r="Y36">
            <v>72</v>
          </cell>
          <cell r="Z36">
            <v>73</v>
          </cell>
          <cell r="AA36">
            <v>89</v>
          </cell>
          <cell r="AB36">
            <v>75</v>
          </cell>
          <cell r="AC36">
            <v>61</v>
          </cell>
          <cell r="AD36">
            <v>92</v>
          </cell>
          <cell r="AE36">
            <v>67</v>
          </cell>
          <cell r="AF36">
            <v>75</v>
          </cell>
          <cell r="AG36">
            <v>68</v>
          </cell>
          <cell r="AH36">
            <v>84</v>
          </cell>
          <cell r="AI36">
            <v>72</v>
          </cell>
          <cell r="AJ36">
            <v>78</v>
          </cell>
          <cell r="AK36">
            <v>71</v>
          </cell>
          <cell r="AL36">
            <v>54</v>
          </cell>
          <cell r="AM36">
            <v>0</v>
          </cell>
          <cell r="AN36">
            <v>90</v>
          </cell>
          <cell r="AO36">
            <v>70</v>
          </cell>
          <cell r="AP36">
            <v>73</v>
          </cell>
          <cell r="AQ36">
            <v>72</v>
          </cell>
          <cell r="AR36">
            <v>72</v>
          </cell>
          <cell r="AS36">
            <v>73</v>
          </cell>
          <cell r="AT36">
            <v>70</v>
          </cell>
          <cell r="AU36">
            <v>58</v>
          </cell>
          <cell r="AV36">
            <v>65</v>
          </cell>
          <cell r="AW36">
            <v>0</v>
          </cell>
          <cell r="AX36">
            <v>70</v>
          </cell>
          <cell r="AY36">
            <v>76</v>
          </cell>
          <cell r="AZ36">
            <v>74</v>
          </cell>
          <cell r="BA36">
            <v>69</v>
          </cell>
          <cell r="BB36">
            <v>68</v>
          </cell>
          <cell r="BC36">
            <v>72</v>
          </cell>
          <cell r="BD36">
            <v>72</v>
          </cell>
          <cell r="BE36">
            <v>59</v>
          </cell>
          <cell r="BF36">
            <v>77</v>
          </cell>
          <cell r="BG36">
            <v>70185</v>
          </cell>
          <cell r="BH36">
            <v>71</v>
          </cell>
          <cell r="BI36">
            <v>74</v>
          </cell>
          <cell r="BJ36">
            <v>0</v>
          </cell>
          <cell r="BK36">
            <v>75</v>
          </cell>
          <cell r="BL36">
            <v>69</v>
          </cell>
          <cell r="BM36">
            <v>0</v>
          </cell>
          <cell r="BN36">
            <v>8</v>
          </cell>
          <cell r="BO36">
            <v>56</v>
          </cell>
          <cell r="BP36">
            <v>75</v>
          </cell>
          <cell r="BQ36">
            <v>63</v>
          </cell>
          <cell r="BR36">
            <v>73</v>
          </cell>
          <cell r="BS36">
            <v>73</v>
          </cell>
          <cell r="BT36">
            <v>67</v>
          </cell>
          <cell r="BU36">
            <v>71</v>
          </cell>
          <cell r="BV36">
            <v>64</v>
          </cell>
          <cell r="BW36">
            <v>87</v>
          </cell>
          <cell r="BX36">
            <v>63</v>
          </cell>
          <cell r="BY36">
            <v>71</v>
          </cell>
          <cell r="BZ36">
            <v>71</v>
          </cell>
          <cell r="CA36">
            <v>68</v>
          </cell>
          <cell r="CB36">
            <v>72</v>
          </cell>
          <cell r="CC36">
            <v>87</v>
          </cell>
        </row>
      </sheetData>
      <sheetData sheetId="11" refreshError="1">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2011</v>
          </cell>
          <cell r="D4">
            <v>125850094.08999999</v>
          </cell>
          <cell r="E4">
            <v>5224251.2700000005</v>
          </cell>
          <cell r="F4">
            <v>112634407</v>
          </cell>
          <cell r="G4">
            <v>29895756.27</v>
          </cell>
          <cell r="H4">
            <v>96442334.849999994</v>
          </cell>
          <cell r="I4">
            <v>234956170.01999998</v>
          </cell>
          <cell r="J4">
            <v>192413506</v>
          </cell>
          <cell r="K4">
            <v>93206044.000000015</v>
          </cell>
          <cell r="L4">
            <v>17807505.149999999</v>
          </cell>
          <cell r="M4">
            <v>2107829.7799999998</v>
          </cell>
          <cell r="N4">
            <v>89517793.439999983</v>
          </cell>
          <cell r="O4" t="e">
            <v>#N/A</v>
          </cell>
          <cell r="P4">
            <v>38428841.859999999</v>
          </cell>
          <cell r="Q4">
            <v>3522012.040000001</v>
          </cell>
          <cell r="R4">
            <v>26499928.68</v>
          </cell>
          <cell r="S4">
            <v>874218682.37999988</v>
          </cell>
          <cell r="T4">
            <v>319618707.81</v>
          </cell>
          <cell r="U4">
            <v>42335149.559999995</v>
          </cell>
          <cell r="V4">
            <v>7467515.2400000012</v>
          </cell>
          <cell r="W4">
            <v>63672138.839999996</v>
          </cell>
          <cell r="X4">
            <v>84310398.670000002</v>
          </cell>
          <cell r="Y4">
            <v>10629132.750000002</v>
          </cell>
          <cell r="Z4">
            <v>188982217.20999998</v>
          </cell>
          <cell r="AA4">
            <v>30819371.670000002</v>
          </cell>
          <cell r="AB4">
            <v>191891362.99000001</v>
          </cell>
          <cell r="AC4">
            <v>66179542.329999998</v>
          </cell>
          <cell r="AD4">
            <v>57800219</v>
          </cell>
          <cell r="AE4">
            <v>3872939.17</v>
          </cell>
          <cell r="AF4">
            <v>676539038.45999992</v>
          </cell>
          <cell r="AG4">
            <v>1089603.08</v>
          </cell>
          <cell r="AH4">
            <v>3885578.19</v>
          </cell>
          <cell r="AI4">
            <v>637549843.93000007</v>
          </cell>
          <cell r="AJ4">
            <v>7860833259.8099995</v>
          </cell>
          <cell r="AK4">
            <v>1160073945.05</v>
          </cell>
          <cell r="AL4">
            <v>59865833.889999986</v>
          </cell>
          <cell r="AM4">
            <v>15360882.779999999</v>
          </cell>
          <cell r="AN4">
            <v>51115070</v>
          </cell>
          <cell r="AO4">
            <v>329642639.25</v>
          </cell>
          <cell r="AP4">
            <v>21795982.379999999</v>
          </cell>
          <cell r="AQ4">
            <v>30524987.689999998</v>
          </cell>
          <cell r="AR4">
            <v>408055347.51999998</v>
          </cell>
          <cell r="AS4">
            <v>21175696.340000004</v>
          </cell>
          <cell r="AT4">
            <v>24671443.300000001</v>
          </cell>
          <cell r="AU4">
            <v>144101184</v>
          </cell>
          <cell r="AV4">
            <v>119443795.72000001</v>
          </cell>
          <cell r="AW4">
            <v>218322705.93999997</v>
          </cell>
          <cell r="AX4">
            <v>46762239.200000003</v>
          </cell>
          <cell r="AY4">
            <v>88030720.170000002</v>
          </cell>
          <cell r="AZ4">
            <v>100796808.36000001</v>
          </cell>
          <cell r="BA4">
            <v>7865405.7200000007</v>
          </cell>
          <cell r="BB4">
            <v>270625467.22000003</v>
          </cell>
          <cell r="BC4">
            <v>35782607.49000001</v>
          </cell>
          <cell r="BD4">
            <v>34333810.549999997</v>
          </cell>
          <cell r="BE4">
            <v>172069560.06000003</v>
          </cell>
          <cell r="BF4">
            <v>26471326.210000005</v>
          </cell>
          <cell r="BG4">
            <v>12139958.049999999</v>
          </cell>
          <cell r="BH4">
            <v>90945334.389999971</v>
          </cell>
          <cell r="BI4">
            <v>16752395.579999998</v>
          </cell>
          <cell r="BJ4">
            <v>1619407126.1500003</v>
          </cell>
          <cell r="BK4">
            <v>99682620</v>
          </cell>
          <cell r="BL4">
            <v>13229840.120000001</v>
          </cell>
          <cell r="BM4">
            <v>6974954.9600000009</v>
          </cell>
          <cell r="BN4">
            <v>8575068.2000000011</v>
          </cell>
          <cell r="BO4">
            <v>48155190.470000006</v>
          </cell>
          <cell r="BP4">
            <v>166583882.19999999</v>
          </cell>
          <cell r="BQ4">
            <v>18150571.300000001</v>
          </cell>
          <cell r="BR4">
            <v>4902256189.1300001</v>
          </cell>
          <cell r="BS4">
            <v>385442693</v>
          </cell>
          <cell r="BT4">
            <v>24550154.629999999</v>
          </cell>
          <cell r="BU4">
            <v>292818499</v>
          </cell>
          <cell r="BV4">
            <v>52258110.830000006</v>
          </cell>
          <cell r="BW4">
            <v>11566919.860000001</v>
          </cell>
          <cell r="BX4">
            <v>6465698</v>
          </cell>
          <cell r="BY4" t="e">
            <v>#N/A</v>
          </cell>
          <cell r="BZ4">
            <v>54544098</v>
          </cell>
          <cell r="CA4">
            <v>161115415.54999998</v>
          </cell>
          <cell r="CB4">
            <v>47355941.629999995</v>
          </cell>
          <cell r="CC4">
            <v>0</v>
          </cell>
        </row>
        <row r="5">
          <cell r="A5" t="str">
            <v>Accumulated Amortization</v>
          </cell>
          <cell r="B5" t="str">
            <v>ACCDEP</v>
          </cell>
          <cell r="C5">
            <v>2011</v>
          </cell>
          <cell r="D5">
            <v>-52122906.090000004</v>
          </cell>
          <cell r="E5">
            <v>-3124959.67</v>
          </cell>
          <cell r="F5">
            <v>-48565489</v>
          </cell>
          <cell r="G5">
            <v>-10572447.83</v>
          </cell>
          <cell r="H5">
            <v>-30219185.079999998</v>
          </cell>
          <cell r="I5">
            <v>-125888831.08</v>
          </cell>
          <cell r="J5">
            <v>-90948461</v>
          </cell>
          <cell r="K5">
            <v>-39173508.390000001</v>
          </cell>
          <cell r="L5">
            <v>-9831269.0199999996</v>
          </cell>
          <cell r="M5">
            <v>-1364869.56</v>
          </cell>
          <cell r="N5">
            <v>-35994406.350000001</v>
          </cell>
          <cell r="O5" t="e">
            <v>#N/A</v>
          </cell>
          <cell r="P5">
            <v>-14872687.140000001</v>
          </cell>
          <cell r="Q5">
            <v>-1251985.6499999999</v>
          </cell>
          <cell r="R5">
            <v>-14871786.390000001</v>
          </cell>
          <cell r="S5">
            <v>-425820957.5</v>
          </cell>
          <cell r="T5">
            <v>-130864724.44</v>
          </cell>
          <cell r="U5">
            <v>-14546687.220000001</v>
          </cell>
          <cell r="V5">
            <v>-4891084.3899999997</v>
          </cell>
          <cell r="W5">
            <v>-18481858.18</v>
          </cell>
          <cell r="X5">
            <v>-46584221.289999999</v>
          </cell>
          <cell r="Y5">
            <v>-7758541.1600000001</v>
          </cell>
          <cell r="Z5">
            <v>-108870023.64</v>
          </cell>
          <cell r="AA5">
            <v>-13605416.74</v>
          </cell>
          <cell r="AB5">
            <v>-49185489.840000004</v>
          </cell>
          <cell r="AC5">
            <v>-25539682.400000002</v>
          </cell>
          <cell r="AD5">
            <v>-21309808</v>
          </cell>
          <cell r="AE5">
            <v>-3163486.41</v>
          </cell>
          <cell r="AF5">
            <v>-325707010.31999999</v>
          </cell>
          <cell r="AG5">
            <v>-486335.76</v>
          </cell>
          <cell r="AH5">
            <v>-1779449.81</v>
          </cell>
          <cell r="AI5">
            <v>-258823741.33000001</v>
          </cell>
          <cell r="AJ5">
            <v>-3024138817.3400002</v>
          </cell>
          <cell r="AK5">
            <v>-437985696.65000004</v>
          </cell>
          <cell r="AL5">
            <v>-27938674.370000001</v>
          </cell>
          <cell r="AM5">
            <v>-6780060.5800000001</v>
          </cell>
          <cell r="AN5">
            <v>-19543782</v>
          </cell>
          <cell r="AO5">
            <v>-133068380.33</v>
          </cell>
          <cell r="AP5">
            <v>-8338498.3799999999</v>
          </cell>
          <cell r="AQ5">
            <v>-10548742.58</v>
          </cell>
          <cell r="AR5">
            <v>-180949327.31999999</v>
          </cell>
          <cell r="AS5">
            <v>-11432833.890000001</v>
          </cell>
          <cell r="AT5">
            <v>-12270092.02</v>
          </cell>
          <cell r="AU5">
            <v>-61079639</v>
          </cell>
          <cell r="AV5">
            <v>-47531257</v>
          </cell>
          <cell r="AW5">
            <v>-104858659.13</v>
          </cell>
          <cell r="AX5">
            <v>-21171345.039999999</v>
          </cell>
          <cell r="AY5">
            <v>-28096543.640000001</v>
          </cell>
          <cell r="AZ5">
            <v>-51556263.5</v>
          </cell>
          <cell r="BA5">
            <v>-3468334.68</v>
          </cell>
          <cell r="BB5">
            <v>-92913946.400000006</v>
          </cell>
          <cell r="BC5">
            <v>-17739126.059999999</v>
          </cell>
          <cell r="BD5">
            <v>-18004651.289999999</v>
          </cell>
          <cell r="BE5">
            <v>-82243764.090000004</v>
          </cell>
          <cell r="BF5">
            <v>-16998913.510000002</v>
          </cell>
          <cell r="BG5">
            <v>-7400061.8200000003</v>
          </cell>
          <cell r="BH5">
            <v>-33043910.699999999</v>
          </cell>
          <cell r="BI5">
            <v>-2707144.5300000003</v>
          </cell>
          <cell r="BJ5">
            <v>-664848363.53999996</v>
          </cell>
          <cell r="BK5">
            <v>-49620201</v>
          </cell>
          <cell r="BL5">
            <v>-8580105.6899999995</v>
          </cell>
          <cell r="BM5">
            <v>-2232001.13</v>
          </cell>
          <cell r="BN5">
            <v>-3236651.6</v>
          </cell>
          <cell r="BO5">
            <v>-22001262.23</v>
          </cell>
          <cell r="BP5">
            <v>-90481827.459999993</v>
          </cell>
          <cell r="BQ5">
            <v>-9385731.8499999996</v>
          </cell>
          <cell r="BR5">
            <v>-2424230703.5600004</v>
          </cell>
          <cell r="BS5">
            <v>-198080627</v>
          </cell>
          <cell r="BT5">
            <v>-10758555.029999999</v>
          </cell>
          <cell r="BU5">
            <v>-113739171</v>
          </cell>
          <cell r="BV5">
            <v>-27863508.84</v>
          </cell>
          <cell r="BW5">
            <v>-6335545.21</v>
          </cell>
          <cell r="BX5">
            <v>-2126235</v>
          </cell>
          <cell r="BY5" t="e">
            <v>#N/A</v>
          </cell>
          <cell r="BZ5">
            <v>-17079279</v>
          </cell>
          <cell r="CA5">
            <v>-70410934.049999997</v>
          </cell>
          <cell r="CB5">
            <v>-19260341.66</v>
          </cell>
          <cell r="CC5">
            <v>0</v>
          </cell>
        </row>
        <row r="6">
          <cell r="A6" t="str">
            <v>Amortization Expense</v>
          </cell>
        </row>
        <row r="7">
          <cell r="A7" t="str">
            <v>Plant Additions</v>
          </cell>
          <cell r="B7" t="str">
            <v>PADD</v>
          </cell>
          <cell r="C7">
            <v>2011</v>
          </cell>
          <cell r="D7">
            <v>10996795</v>
          </cell>
          <cell r="E7">
            <v>77623</v>
          </cell>
          <cell r="F7">
            <v>5392223</v>
          </cell>
          <cell r="G7">
            <v>2818212</v>
          </cell>
          <cell r="H7">
            <v>4877144</v>
          </cell>
          <cell r="I7">
            <v>10310227.59</v>
          </cell>
          <cell r="J7">
            <v>9845215</v>
          </cell>
          <cell r="K7">
            <v>4418807.84</v>
          </cell>
          <cell r="L7">
            <v>778339.9</v>
          </cell>
          <cell r="M7">
            <v>10450.210000000001</v>
          </cell>
          <cell r="N7">
            <v>5234718.66</v>
          </cell>
          <cell r="O7" t="e">
            <v>#N/A</v>
          </cell>
          <cell r="P7">
            <v>2074625.41</v>
          </cell>
          <cell r="Q7">
            <v>66424.399999999994</v>
          </cell>
          <cell r="R7">
            <v>480331.29000000004</v>
          </cell>
          <cell r="S7">
            <v>48923842.310000002</v>
          </cell>
          <cell r="T7">
            <v>14352978</v>
          </cell>
          <cell r="U7">
            <v>2786470</v>
          </cell>
          <cell r="V7">
            <v>333755.63</v>
          </cell>
          <cell r="W7">
            <v>6166331.3300000001</v>
          </cell>
          <cell r="X7">
            <v>3621283</v>
          </cell>
          <cell r="Y7">
            <v>11146.800000000001</v>
          </cell>
          <cell r="Z7">
            <v>7725292.7000000002</v>
          </cell>
          <cell r="AA7">
            <v>1226678.3999999999</v>
          </cell>
          <cell r="AB7">
            <v>24307230</v>
          </cell>
          <cell r="AC7">
            <v>4947158</v>
          </cell>
          <cell r="AD7">
            <v>4345429</v>
          </cell>
          <cell r="AE7">
            <v>28364.66</v>
          </cell>
          <cell r="AF7">
            <v>39548836</v>
          </cell>
          <cell r="AG7">
            <v>65521.440000000002</v>
          </cell>
          <cell r="AH7">
            <v>188178.68</v>
          </cell>
          <cell r="AI7">
            <v>38257711</v>
          </cell>
          <cell r="AJ7">
            <v>730752993</v>
          </cell>
          <cell r="AK7">
            <v>81912537</v>
          </cell>
          <cell r="AL7">
            <v>3605881</v>
          </cell>
          <cell r="AM7">
            <v>661400.84</v>
          </cell>
          <cell r="AN7">
            <v>6208435</v>
          </cell>
          <cell r="AO7">
            <v>22909723.449999999</v>
          </cell>
          <cell r="AP7">
            <v>1355825.79</v>
          </cell>
          <cell r="AQ7">
            <v>2535288.7999999998</v>
          </cell>
          <cell r="AR7">
            <v>29231897.609999999</v>
          </cell>
          <cell r="AS7">
            <v>1279610.8400000001</v>
          </cell>
          <cell r="AT7">
            <v>1040739.82</v>
          </cell>
          <cell r="AU7">
            <v>9625504.5500000007</v>
          </cell>
          <cell r="AV7">
            <v>6432585.7800000003</v>
          </cell>
          <cell r="AW7">
            <v>9922020</v>
          </cell>
          <cell r="AX7">
            <v>2100669.59</v>
          </cell>
          <cell r="AY7">
            <v>5761971.7999999998</v>
          </cell>
          <cell r="AZ7">
            <v>7483082.4199999999</v>
          </cell>
          <cell r="BA7">
            <v>1430450.2</v>
          </cell>
          <cell r="BB7">
            <v>29860999.989999998</v>
          </cell>
          <cell r="BC7">
            <v>1597404.52</v>
          </cell>
          <cell r="BD7">
            <v>1899562</v>
          </cell>
          <cell r="BE7">
            <v>18284376</v>
          </cell>
          <cell r="BF7">
            <v>767212.21</v>
          </cell>
          <cell r="BG7">
            <v>353225.53</v>
          </cell>
          <cell r="BH7">
            <v>6203278</v>
          </cell>
          <cell r="BI7">
            <v>1409893.3900000001</v>
          </cell>
          <cell r="BJ7">
            <v>113399335.43000001</v>
          </cell>
          <cell r="BK7">
            <v>12862025</v>
          </cell>
          <cell r="BL7">
            <v>518263</v>
          </cell>
          <cell r="BM7">
            <v>516578</v>
          </cell>
          <cell r="BN7">
            <v>325819.82</v>
          </cell>
          <cell r="BO7">
            <v>2031855.44</v>
          </cell>
          <cell r="BP7">
            <v>11195367</v>
          </cell>
          <cell r="BQ7">
            <v>821257</v>
          </cell>
          <cell r="BR7">
            <v>470688548.31999999</v>
          </cell>
          <cell r="BS7">
            <v>25290429</v>
          </cell>
          <cell r="BT7">
            <v>617100.76</v>
          </cell>
          <cell r="BU7">
            <v>38214923</v>
          </cell>
          <cell r="BV7">
            <v>2484168</v>
          </cell>
          <cell r="BW7">
            <v>576440.37</v>
          </cell>
          <cell r="BX7">
            <v>492367</v>
          </cell>
          <cell r="BY7" t="e">
            <v>#N/A</v>
          </cell>
          <cell r="BZ7">
            <v>4329738</v>
          </cell>
          <cell r="CA7">
            <v>5080096</v>
          </cell>
          <cell r="CB7">
            <v>6422281.9800000004</v>
          </cell>
          <cell r="CC7">
            <v>1003911.56</v>
          </cell>
        </row>
        <row r="8">
          <cell r="A8" t="str">
            <v>OM&amp;A Expense</v>
          </cell>
          <cell r="B8" t="str">
            <v>COMA</v>
          </cell>
          <cell r="C8">
            <v>2011</v>
          </cell>
          <cell r="D8">
            <v>9716668.379999999</v>
          </cell>
          <cell r="E8">
            <v>933668.64</v>
          </cell>
          <cell r="F8">
            <v>10829934</v>
          </cell>
          <cell r="G8">
            <v>4555301.87</v>
          </cell>
          <cell r="H8">
            <v>6704261.8000000007</v>
          </cell>
          <cell r="I8">
            <v>14278410.779999999</v>
          </cell>
          <cell r="J8">
            <v>10613508</v>
          </cell>
          <cell r="K8">
            <v>5221144.63</v>
          </cell>
          <cell r="L8">
            <v>1924698.5699999998</v>
          </cell>
          <cell r="M8">
            <v>531716.38</v>
          </cell>
          <cell r="N8">
            <v>6550637.2800000012</v>
          </cell>
          <cell r="O8" t="e">
            <v>#N/A</v>
          </cell>
          <cell r="P8">
            <v>4012963.25</v>
          </cell>
          <cell r="Q8">
            <v>531002.76</v>
          </cell>
          <cell r="R8">
            <v>2069968.6400000004</v>
          </cell>
          <cell r="S8">
            <v>42768101.390000001</v>
          </cell>
          <cell r="T8">
            <v>22397702.23</v>
          </cell>
          <cell r="U8">
            <v>5670359.0700000003</v>
          </cell>
          <cell r="V8">
            <v>1050769.625</v>
          </cell>
          <cell r="W8">
            <v>5385334.6500000004</v>
          </cell>
          <cell r="X8">
            <v>3908316.23</v>
          </cell>
          <cell r="Y8">
            <v>1291776.72</v>
          </cell>
          <cell r="Z8">
            <v>12049089.35</v>
          </cell>
          <cell r="AA8">
            <v>2078668.08</v>
          </cell>
          <cell r="AB8">
            <v>12594875.43</v>
          </cell>
          <cell r="AC8">
            <v>7171214.3900000006</v>
          </cell>
          <cell r="AD8">
            <v>4766673</v>
          </cell>
          <cell r="AE8">
            <v>810198.53999999992</v>
          </cell>
          <cell r="AF8">
            <v>40753989.579999998</v>
          </cell>
          <cell r="AG8">
            <v>301314.90000000008</v>
          </cell>
          <cell r="AH8">
            <v>891994.29999999993</v>
          </cell>
          <cell r="AI8">
            <v>19508263.439999998</v>
          </cell>
          <cell r="AJ8">
            <v>524798322.97000003</v>
          </cell>
          <cell r="AK8">
            <v>56871338.349999994</v>
          </cell>
          <cell r="AL8">
            <v>4096017.67</v>
          </cell>
          <cell r="AM8">
            <v>1991091.3499999999</v>
          </cell>
          <cell r="AN8">
            <v>5768581</v>
          </cell>
          <cell r="AO8">
            <v>14058260.18</v>
          </cell>
          <cell r="AP8">
            <v>2217997.3800000004</v>
          </cell>
          <cell r="AQ8">
            <v>2856629.6800000006</v>
          </cell>
          <cell r="AR8">
            <v>30075780.630000003</v>
          </cell>
          <cell r="AS8">
            <v>1712299.3099999998</v>
          </cell>
          <cell r="AT8">
            <v>1879897.87</v>
          </cell>
          <cell r="AU8">
            <v>6368533</v>
          </cell>
          <cell r="AV8">
            <v>6540075.3000000007</v>
          </cell>
          <cell r="AW8">
            <v>13737673.52</v>
          </cell>
          <cell r="AX8">
            <v>1885320.3199999998</v>
          </cell>
          <cell r="AY8">
            <v>4609986.24</v>
          </cell>
          <cell r="AZ8">
            <v>4996953.09</v>
          </cell>
          <cell r="BA8">
            <v>2091310.31</v>
          </cell>
          <cell r="BB8">
            <v>12832817.600000001</v>
          </cell>
          <cell r="BC8">
            <v>2834444.7600000002</v>
          </cell>
          <cell r="BD8">
            <v>4405707.6100000003</v>
          </cell>
          <cell r="BE8">
            <v>9471777.8399999999</v>
          </cell>
          <cell r="BF8">
            <v>2615907.1300000004</v>
          </cell>
          <cell r="BG8">
            <v>1301891.3899999999</v>
          </cell>
          <cell r="BH8">
            <v>6718432.8800000008</v>
          </cell>
          <cell r="BI8">
            <v>3601276</v>
          </cell>
          <cell r="BJ8">
            <v>57831837.340000004</v>
          </cell>
          <cell r="BK8">
            <v>8475990</v>
          </cell>
          <cell r="BL8">
            <v>1084572.3800000001</v>
          </cell>
          <cell r="BM8">
            <v>1546298.84</v>
          </cell>
          <cell r="BN8">
            <v>1140634.92</v>
          </cell>
          <cell r="BO8">
            <v>3450897.29</v>
          </cell>
          <cell r="BP8">
            <v>11780375.18</v>
          </cell>
          <cell r="BQ8">
            <v>2127161.3800000004</v>
          </cell>
          <cell r="BR8">
            <v>219301208.17000002</v>
          </cell>
          <cell r="BS8">
            <v>20308168</v>
          </cell>
          <cell r="BT8">
            <v>2178363.58</v>
          </cell>
          <cell r="BU8">
            <v>9428211</v>
          </cell>
          <cell r="BV8">
            <v>5112142.45</v>
          </cell>
          <cell r="BW8">
            <v>1542486.42</v>
          </cell>
          <cell r="BX8">
            <v>1376820</v>
          </cell>
          <cell r="BY8" t="e">
            <v>#N/A</v>
          </cell>
          <cell r="BZ8">
            <v>4521400</v>
          </cell>
          <cell r="CA8">
            <v>8403954.5700000003</v>
          </cell>
          <cell r="CB8">
            <v>3718347.5000000005</v>
          </cell>
          <cell r="CC8">
            <v>0</v>
          </cell>
        </row>
        <row r="9">
          <cell r="A9" t="str">
            <v>Income Taxes</v>
          </cell>
          <cell r="B9" t="str">
            <v>CTAXINC</v>
          </cell>
          <cell r="C9">
            <v>2011</v>
          </cell>
          <cell r="D9">
            <v>256419</v>
          </cell>
          <cell r="E9">
            <v>92771</v>
          </cell>
          <cell r="F9">
            <v>525000</v>
          </cell>
          <cell r="G9">
            <v>331241</v>
          </cell>
          <cell r="H9">
            <v>770034</v>
          </cell>
          <cell r="I9">
            <v>1382584.38</v>
          </cell>
          <cell r="J9">
            <v>1658699</v>
          </cell>
          <cell r="K9">
            <v>105151.73</v>
          </cell>
          <cell r="L9">
            <v>1322</v>
          </cell>
          <cell r="M9">
            <v>0</v>
          </cell>
          <cell r="N9">
            <v>372028</v>
          </cell>
          <cell r="O9" t="e">
            <v>#N/A</v>
          </cell>
          <cell r="P9">
            <v>125438</v>
          </cell>
          <cell r="Q9">
            <v>23202</v>
          </cell>
          <cell r="R9">
            <v>216886.96</v>
          </cell>
          <cell r="S9">
            <v>3190224.4</v>
          </cell>
          <cell r="T9">
            <v>1809267.63</v>
          </cell>
          <cell r="U9">
            <v>38640.520000000004</v>
          </cell>
          <cell r="V9">
            <v>20688</v>
          </cell>
          <cell r="W9">
            <v>383000</v>
          </cell>
          <cell r="X9">
            <v>628000</v>
          </cell>
          <cell r="Y9">
            <v>-18585</v>
          </cell>
          <cell r="Z9">
            <v>1785193</v>
          </cell>
          <cell r="AA9">
            <v>29049.42</v>
          </cell>
          <cell r="AB9">
            <v>1452000</v>
          </cell>
          <cell r="AC9">
            <v>958816</v>
          </cell>
          <cell r="AD9">
            <v>443604</v>
          </cell>
          <cell r="AE9">
            <v>123666</v>
          </cell>
          <cell r="AF9">
            <v>5924016.5899999999</v>
          </cell>
          <cell r="AG9">
            <v>-7239</v>
          </cell>
          <cell r="AH9">
            <v>-36001</v>
          </cell>
          <cell r="AI9">
            <v>3025368.73</v>
          </cell>
          <cell r="AJ9">
            <v>66087660.909999996</v>
          </cell>
          <cell r="AK9">
            <v>8311816</v>
          </cell>
          <cell r="AL9">
            <v>293400</v>
          </cell>
          <cell r="AM9">
            <v>13631</v>
          </cell>
          <cell r="AN9">
            <v>133098</v>
          </cell>
          <cell r="AO9">
            <v>2430985.7800000003</v>
          </cell>
          <cell r="AP9">
            <v>190000</v>
          </cell>
          <cell r="AQ9">
            <v>140548</v>
          </cell>
          <cell r="AR9">
            <v>1600402.96</v>
          </cell>
          <cell r="AS9">
            <v>38394</v>
          </cell>
          <cell r="AT9">
            <v>166687</v>
          </cell>
          <cell r="AU9">
            <v>609466</v>
          </cell>
          <cell r="AV9">
            <v>0</v>
          </cell>
          <cell r="AW9">
            <v>1342276.11</v>
          </cell>
          <cell r="AX9">
            <v>180129.57</v>
          </cell>
          <cell r="AY9">
            <v>276500.25</v>
          </cell>
          <cell r="AZ9">
            <v>709730.20000000007</v>
          </cell>
          <cell r="BA9">
            <v>-244082</v>
          </cell>
          <cell r="BB9">
            <v>-24234</v>
          </cell>
          <cell r="BC9">
            <v>213493</v>
          </cell>
          <cell r="BD9">
            <v>292000</v>
          </cell>
          <cell r="BE9">
            <v>1637431.7000000002</v>
          </cell>
          <cell r="BF9">
            <v>109813</v>
          </cell>
          <cell r="BG9">
            <v>35400</v>
          </cell>
          <cell r="BH9">
            <v>870496</v>
          </cell>
          <cell r="BI9">
            <v>-16448.080000000002</v>
          </cell>
          <cell r="BJ9">
            <v>5221900.68</v>
          </cell>
          <cell r="BK9">
            <v>466500</v>
          </cell>
          <cell r="BL9">
            <v>32633</v>
          </cell>
          <cell r="BM9">
            <v>7685</v>
          </cell>
          <cell r="BN9">
            <v>29731.99</v>
          </cell>
          <cell r="BO9">
            <v>283808</v>
          </cell>
          <cell r="BP9">
            <v>661874.6</v>
          </cell>
          <cell r="BQ9">
            <v>85557</v>
          </cell>
          <cell r="BR9">
            <v>9031912</v>
          </cell>
          <cell r="BS9">
            <v>2037696</v>
          </cell>
          <cell r="BT9">
            <v>32490</v>
          </cell>
          <cell r="BU9">
            <v>1130160</v>
          </cell>
          <cell r="BV9">
            <v>188437</v>
          </cell>
          <cell r="BW9">
            <v>-45520</v>
          </cell>
          <cell r="BX9">
            <v>71232</v>
          </cell>
          <cell r="BY9" t="e">
            <v>#N/A</v>
          </cell>
          <cell r="BZ9">
            <v>221000</v>
          </cell>
          <cell r="CA9">
            <v>1058156.72</v>
          </cell>
          <cell r="CB9">
            <v>-37000</v>
          </cell>
          <cell r="CC9">
            <v>0</v>
          </cell>
        </row>
        <row r="10">
          <cell r="A10" t="str">
            <v>Customers</v>
          </cell>
          <cell r="B10" t="str">
            <v>YN</v>
          </cell>
          <cell r="C10">
            <v>2011</v>
          </cell>
          <cell r="D10">
            <v>11581</v>
          </cell>
          <cell r="E10">
            <v>1661</v>
          </cell>
          <cell r="F10">
            <v>35772</v>
          </cell>
          <cell r="G10">
            <v>9741</v>
          </cell>
          <cell r="H10">
            <v>37967</v>
          </cell>
          <cell r="I10">
            <v>64329</v>
          </cell>
          <cell r="J10">
            <v>51586</v>
          </cell>
          <cell r="K10">
            <v>15708</v>
          </cell>
          <cell r="L10">
            <v>6496</v>
          </cell>
          <cell r="M10">
            <v>1293</v>
          </cell>
          <cell r="N10">
            <v>32132</v>
          </cell>
          <cell r="O10" t="e">
            <v>#N/A</v>
          </cell>
          <cell r="P10">
            <v>15723</v>
          </cell>
          <cell r="Q10">
            <v>1954</v>
          </cell>
          <cell r="R10">
            <v>11276</v>
          </cell>
          <cell r="S10">
            <v>195381</v>
          </cell>
          <cell r="T10">
            <v>85083</v>
          </cell>
          <cell r="U10">
            <v>18094</v>
          </cell>
          <cell r="V10">
            <v>3299</v>
          </cell>
          <cell r="W10">
            <v>28094</v>
          </cell>
          <cell r="X10">
            <v>19885</v>
          </cell>
          <cell r="Y10">
            <v>3775</v>
          </cell>
          <cell r="Z10">
            <v>46748</v>
          </cell>
          <cell r="AA10">
            <v>10307</v>
          </cell>
          <cell r="AB10">
            <v>50859</v>
          </cell>
          <cell r="AC10">
            <v>21078</v>
          </cell>
          <cell r="AD10">
            <v>21232</v>
          </cell>
          <cell r="AE10">
            <v>2817</v>
          </cell>
          <cell r="AF10">
            <v>235327</v>
          </cell>
          <cell r="AG10">
            <v>1208</v>
          </cell>
          <cell r="AH10">
            <v>5521</v>
          </cell>
          <cell r="AI10">
            <v>137856</v>
          </cell>
          <cell r="AJ10">
            <v>1211071</v>
          </cell>
          <cell r="AK10">
            <v>305266</v>
          </cell>
          <cell r="AL10">
            <v>14826</v>
          </cell>
          <cell r="AM10">
            <v>5572</v>
          </cell>
          <cell r="AN10">
            <v>26844</v>
          </cell>
          <cell r="AO10">
            <v>87965</v>
          </cell>
          <cell r="AP10">
            <v>9976</v>
          </cell>
          <cell r="AQ10">
            <v>9598</v>
          </cell>
          <cell r="AR10">
            <v>148331</v>
          </cell>
          <cell r="AS10">
            <v>7988</v>
          </cell>
          <cell r="AT10">
            <v>6951</v>
          </cell>
          <cell r="AU10">
            <v>30485</v>
          </cell>
          <cell r="AV10">
            <v>33338</v>
          </cell>
          <cell r="AW10">
            <v>51162</v>
          </cell>
          <cell r="AX10">
            <v>8000</v>
          </cell>
          <cell r="AY10">
            <v>19032</v>
          </cell>
          <cell r="AZ10">
            <v>23850</v>
          </cell>
          <cell r="BA10">
            <v>6059</v>
          </cell>
          <cell r="BB10">
            <v>63614</v>
          </cell>
          <cell r="BC10">
            <v>11248</v>
          </cell>
          <cell r="BD10">
            <v>13035</v>
          </cell>
          <cell r="BE10">
            <v>53083</v>
          </cell>
          <cell r="BF10">
            <v>10555</v>
          </cell>
          <cell r="BG10">
            <v>3441</v>
          </cell>
          <cell r="BH10">
            <v>35270</v>
          </cell>
          <cell r="BI10">
            <v>9138</v>
          </cell>
          <cell r="BJ10">
            <v>332993</v>
          </cell>
          <cell r="BK10">
            <v>32998</v>
          </cell>
          <cell r="BL10">
            <v>4183</v>
          </cell>
          <cell r="BM10">
            <v>5839</v>
          </cell>
          <cell r="BN10">
            <v>2755</v>
          </cell>
          <cell r="BO10">
            <v>16436</v>
          </cell>
          <cell r="BP10">
            <v>49765</v>
          </cell>
          <cell r="BQ10">
            <v>6745</v>
          </cell>
          <cell r="BR10">
            <v>709323</v>
          </cell>
          <cell r="BS10">
            <v>113709</v>
          </cell>
          <cell r="BT10">
            <v>12324</v>
          </cell>
          <cell r="BU10">
            <v>52612</v>
          </cell>
          <cell r="BV10">
            <v>21768</v>
          </cell>
          <cell r="BW10">
            <v>3626</v>
          </cell>
          <cell r="BX10">
            <v>3697</v>
          </cell>
          <cell r="BY10" t="e">
            <v>#N/A</v>
          </cell>
          <cell r="BZ10">
            <v>22257</v>
          </cell>
          <cell r="CA10">
            <v>40337</v>
          </cell>
          <cell r="CB10">
            <v>15181</v>
          </cell>
          <cell r="CC10">
            <v>3551</v>
          </cell>
        </row>
        <row r="11">
          <cell r="A11" t="str">
            <v>Customers - Residential</v>
          </cell>
          <cell r="B11" t="str">
            <v>YNR</v>
          </cell>
          <cell r="C11">
            <v>2011</v>
          </cell>
          <cell r="D11">
            <v>10588</v>
          </cell>
          <cell r="E11">
            <v>1408</v>
          </cell>
          <cell r="F11">
            <v>31841</v>
          </cell>
          <cell r="G11">
            <v>8307</v>
          </cell>
          <cell r="H11">
            <v>34791</v>
          </cell>
          <cell r="I11">
            <v>58263</v>
          </cell>
          <cell r="J11">
            <v>46122</v>
          </cell>
          <cell r="K11">
            <v>14369</v>
          </cell>
          <cell r="L11">
            <v>5725</v>
          </cell>
          <cell r="M11">
            <v>1117</v>
          </cell>
          <cell r="N11">
            <v>28649</v>
          </cell>
          <cell r="O11" t="e">
            <v>#N/A</v>
          </cell>
          <cell r="P11">
            <v>13897</v>
          </cell>
          <cell r="Q11">
            <v>1785</v>
          </cell>
          <cell r="R11">
            <v>9964</v>
          </cell>
          <cell r="S11">
            <v>173444</v>
          </cell>
          <cell r="T11">
            <v>76915</v>
          </cell>
          <cell r="U11">
            <v>16148</v>
          </cell>
          <cell r="V11">
            <v>2849</v>
          </cell>
          <cell r="W11">
            <v>25989</v>
          </cell>
          <cell r="X11">
            <v>17653</v>
          </cell>
          <cell r="Y11">
            <v>3308</v>
          </cell>
          <cell r="Z11">
            <v>42279</v>
          </cell>
          <cell r="AA11">
            <v>9519</v>
          </cell>
          <cell r="AB11">
            <v>46519</v>
          </cell>
          <cell r="AC11">
            <v>18554</v>
          </cell>
          <cell r="AD11">
            <v>19354</v>
          </cell>
          <cell r="AE11">
            <v>2341</v>
          </cell>
          <cell r="AF11">
            <v>215025</v>
          </cell>
          <cell r="AG11">
            <v>1055</v>
          </cell>
          <cell r="AH11">
            <v>4835</v>
          </cell>
          <cell r="AI11">
            <v>127956</v>
          </cell>
          <cell r="AJ11">
            <v>1091935</v>
          </cell>
          <cell r="AK11">
            <v>278056</v>
          </cell>
          <cell r="AL11">
            <v>13854</v>
          </cell>
          <cell r="AM11">
            <v>4757</v>
          </cell>
          <cell r="AN11">
            <v>23258</v>
          </cell>
          <cell r="AO11">
            <v>79391</v>
          </cell>
          <cell r="AP11">
            <v>8767</v>
          </cell>
          <cell r="AQ11">
            <v>7930</v>
          </cell>
          <cell r="AR11">
            <v>134714</v>
          </cell>
          <cell r="AS11">
            <v>7111</v>
          </cell>
          <cell r="AT11">
            <v>6092</v>
          </cell>
          <cell r="AU11">
            <v>27826</v>
          </cell>
          <cell r="AV11">
            <v>29873</v>
          </cell>
          <cell r="AW11">
            <v>45996</v>
          </cell>
          <cell r="AX11">
            <v>6649</v>
          </cell>
          <cell r="AY11">
            <v>16880</v>
          </cell>
          <cell r="AZ11">
            <v>20960</v>
          </cell>
          <cell r="BA11">
            <v>5241</v>
          </cell>
          <cell r="BB11">
            <v>57781</v>
          </cell>
          <cell r="BC11">
            <v>10027</v>
          </cell>
          <cell r="BD11">
            <v>11525</v>
          </cell>
          <cell r="BE11">
            <v>48674</v>
          </cell>
          <cell r="BF11">
            <v>9037</v>
          </cell>
          <cell r="BG11">
            <v>2837</v>
          </cell>
          <cell r="BH11">
            <v>31314</v>
          </cell>
          <cell r="BI11">
            <v>8161</v>
          </cell>
          <cell r="BJ11">
            <v>297962</v>
          </cell>
          <cell r="BK11">
            <v>29163</v>
          </cell>
          <cell r="BL11">
            <v>3687</v>
          </cell>
          <cell r="BM11">
            <v>5004</v>
          </cell>
          <cell r="BN11">
            <v>2324</v>
          </cell>
          <cell r="BO11">
            <v>14580</v>
          </cell>
          <cell r="BP11">
            <v>44749</v>
          </cell>
          <cell r="BQ11">
            <v>5994</v>
          </cell>
          <cell r="BR11">
            <v>629049</v>
          </cell>
          <cell r="BS11">
            <v>104060</v>
          </cell>
          <cell r="BT11">
            <v>11504</v>
          </cell>
          <cell r="BU11">
            <v>46525</v>
          </cell>
          <cell r="BV11">
            <v>19905</v>
          </cell>
          <cell r="BW11">
            <v>3103</v>
          </cell>
          <cell r="BX11">
            <v>3198</v>
          </cell>
          <cell r="BY11" t="e">
            <v>#N/A</v>
          </cell>
          <cell r="BZ11">
            <v>19522</v>
          </cell>
          <cell r="CA11">
            <v>37921</v>
          </cell>
          <cell r="CB11">
            <v>13793</v>
          </cell>
          <cell r="CC11">
            <v>3123</v>
          </cell>
        </row>
        <row r="12">
          <cell r="A12" t="str">
            <v>Customers - Other</v>
          </cell>
          <cell r="B12" t="str">
            <v>YNO</v>
          </cell>
          <cell r="C12">
            <v>2011</v>
          </cell>
          <cell r="D12">
            <v>993</v>
          </cell>
          <cell r="E12">
            <v>253</v>
          </cell>
          <cell r="F12">
            <v>3931</v>
          </cell>
          <cell r="G12">
            <v>1434</v>
          </cell>
          <cell r="H12">
            <v>3176</v>
          </cell>
          <cell r="I12">
            <v>6066</v>
          </cell>
          <cell r="J12">
            <v>5464</v>
          </cell>
          <cell r="K12">
            <v>1339</v>
          </cell>
          <cell r="L12">
            <v>771</v>
          </cell>
          <cell r="M12">
            <v>176</v>
          </cell>
          <cell r="N12">
            <v>3483</v>
          </cell>
          <cell r="O12" t="e">
            <v>#N/A</v>
          </cell>
          <cell r="P12">
            <v>1826</v>
          </cell>
          <cell r="Q12">
            <v>169</v>
          </cell>
          <cell r="R12">
            <v>1312</v>
          </cell>
          <cell r="S12">
            <v>21937</v>
          </cell>
          <cell r="T12">
            <v>8168</v>
          </cell>
          <cell r="U12">
            <v>1946</v>
          </cell>
          <cell r="V12">
            <v>450</v>
          </cell>
          <cell r="W12">
            <v>2105</v>
          </cell>
          <cell r="X12">
            <v>2232</v>
          </cell>
          <cell r="Y12">
            <v>467</v>
          </cell>
          <cell r="Z12">
            <v>4469</v>
          </cell>
          <cell r="AA12">
            <v>788</v>
          </cell>
          <cell r="AB12">
            <v>4340</v>
          </cell>
          <cell r="AC12">
            <v>2524</v>
          </cell>
          <cell r="AD12">
            <v>1878</v>
          </cell>
          <cell r="AE12">
            <v>476</v>
          </cell>
          <cell r="AF12">
            <v>20302</v>
          </cell>
          <cell r="AG12">
            <v>153</v>
          </cell>
          <cell r="AH12">
            <v>686</v>
          </cell>
          <cell r="AI12">
            <v>9900</v>
          </cell>
          <cell r="AJ12">
            <v>119136</v>
          </cell>
          <cell r="AK12">
            <v>27210</v>
          </cell>
          <cell r="AL12">
            <v>972</v>
          </cell>
          <cell r="AM12">
            <v>815</v>
          </cell>
          <cell r="AN12">
            <v>3586</v>
          </cell>
          <cell r="AO12">
            <v>8574</v>
          </cell>
          <cell r="AP12">
            <v>1209</v>
          </cell>
          <cell r="AQ12">
            <v>1668</v>
          </cell>
          <cell r="AR12">
            <v>13617</v>
          </cell>
          <cell r="AS12">
            <v>877</v>
          </cell>
          <cell r="AT12">
            <v>859</v>
          </cell>
          <cell r="AU12">
            <v>2659</v>
          </cell>
          <cell r="AV12">
            <v>3465</v>
          </cell>
          <cell r="AW12">
            <v>5166</v>
          </cell>
          <cell r="AX12">
            <v>1351</v>
          </cell>
          <cell r="AY12">
            <v>2152</v>
          </cell>
          <cell r="AZ12">
            <v>2890</v>
          </cell>
          <cell r="BA12">
            <v>818</v>
          </cell>
          <cell r="BB12">
            <v>5833</v>
          </cell>
          <cell r="BC12">
            <v>1221</v>
          </cell>
          <cell r="BD12">
            <v>1510</v>
          </cell>
          <cell r="BE12">
            <v>4409</v>
          </cell>
          <cell r="BF12">
            <v>1518</v>
          </cell>
          <cell r="BG12">
            <v>604</v>
          </cell>
          <cell r="BH12">
            <v>3956</v>
          </cell>
          <cell r="BI12">
            <v>977</v>
          </cell>
          <cell r="BJ12">
            <v>35031</v>
          </cell>
          <cell r="BK12">
            <v>3835</v>
          </cell>
          <cell r="BL12">
            <v>496</v>
          </cell>
          <cell r="BM12">
            <v>835</v>
          </cell>
          <cell r="BN12">
            <v>431</v>
          </cell>
          <cell r="BO12">
            <v>1856</v>
          </cell>
          <cell r="BP12">
            <v>5016</v>
          </cell>
          <cell r="BQ12">
            <v>751</v>
          </cell>
          <cell r="BR12">
            <v>80274</v>
          </cell>
          <cell r="BS12">
            <v>9649</v>
          </cell>
          <cell r="BT12">
            <v>820</v>
          </cell>
          <cell r="BU12">
            <v>6087</v>
          </cell>
          <cell r="BV12">
            <v>1863</v>
          </cell>
          <cell r="BW12">
            <v>523</v>
          </cell>
          <cell r="BX12">
            <v>499</v>
          </cell>
          <cell r="BY12" t="e">
            <v>#N/A</v>
          </cell>
          <cell r="BZ12">
            <v>2735</v>
          </cell>
          <cell r="CA12">
            <v>2416</v>
          </cell>
          <cell r="CB12">
            <v>1388</v>
          </cell>
          <cell r="CC12">
            <v>428</v>
          </cell>
        </row>
        <row r="13">
          <cell r="A13" t="str">
            <v>kWh</v>
          </cell>
          <cell r="B13" t="str">
            <v>YV</v>
          </cell>
          <cell r="C13">
            <v>2011</v>
          </cell>
          <cell r="D13">
            <v>188825588.5</v>
          </cell>
          <cell r="E13">
            <v>21914149</v>
          </cell>
          <cell r="F13">
            <v>1013462454</v>
          </cell>
          <cell r="G13">
            <v>276100189</v>
          </cell>
          <cell r="H13">
            <v>909897725.10000002</v>
          </cell>
          <cell r="I13">
            <v>1697206413</v>
          </cell>
          <cell r="J13">
            <v>1488576772.01</v>
          </cell>
          <cell r="K13">
            <v>273617384</v>
          </cell>
          <cell r="L13">
            <v>147194209</v>
          </cell>
          <cell r="M13">
            <v>26562880</v>
          </cell>
          <cell r="N13">
            <v>713235664</v>
          </cell>
          <cell r="O13" t="e">
            <v>#N/A</v>
          </cell>
          <cell r="P13">
            <v>304695726</v>
          </cell>
          <cell r="Q13">
            <v>28988375</v>
          </cell>
          <cell r="R13">
            <v>243982199</v>
          </cell>
          <cell r="S13">
            <v>7575590224</v>
          </cell>
          <cell r="T13">
            <v>2250502159</v>
          </cell>
          <cell r="U13">
            <v>456033398</v>
          </cell>
          <cell r="V13">
            <v>63642400</v>
          </cell>
          <cell r="W13">
            <v>533687309</v>
          </cell>
          <cell r="X13">
            <v>577484414</v>
          </cell>
          <cell r="Y13">
            <v>78311374</v>
          </cell>
          <cell r="Z13">
            <v>923827081.64999998</v>
          </cell>
          <cell r="AA13">
            <v>180803939.70999998</v>
          </cell>
          <cell r="AB13">
            <v>1664955455</v>
          </cell>
          <cell r="AC13">
            <v>421078100</v>
          </cell>
          <cell r="AD13">
            <v>491642005</v>
          </cell>
          <cell r="AE13">
            <v>77706108</v>
          </cell>
          <cell r="AF13">
            <v>4626970393</v>
          </cell>
          <cell r="AG13">
            <v>19660484</v>
          </cell>
          <cell r="AH13">
            <v>152469854</v>
          </cell>
          <cell r="AI13">
            <v>3807829878.9700003</v>
          </cell>
          <cell r="AJ13">
            <v>23414000000</v>
          </cell>
          <cell r="AK13">
            <v>7542801651</v>
          </cell>
          <cell r="AL13">
            <v>247768900</v>
          </cell>
          <cell r="AM13">
            <v>105544154</v>
          </cell>
          <cell r="AN13">
            <v>710434028</v>
          </cell>
          <cell r="AO13">
            <v>1836015046</v>
          </cell>
          <cell r="AP13">
            <v>231056870</v>
          </cell>
          <cell r="AQ13">
            <v>204378205</v>
          </cell>
          <cell r="AR13">
            <v>3286890316</v>
          </cell>
          <cell r="AS13">
            <v>215118957</v>
          </cell>
          <cell r="AT13">
            <v>199189616</v>
          </cell>
          <cell r="AU13">
            <v>746591129</v>
          </cell>
          <cell r="AV13">
            <v>680451871</v>
          </cell>
          <cell r="AW13">
            <v>1176025374</v>
          </cell>
          <cell r="AX13">
            <v>182461223</v>
          </cell>
          <cell r="AY13">
            <v>364192396</v>
          </cell>
          <cell r="AZ13">
            <v>561135444</v>
          </cell>
          <cell r="BA13">
            <v>114314366</v>
          </cell>
          <cell r="BB13">
            <v>1507117575.8099999</v>
          </cell>
          <cell r="BC13">
            <v>243474417</v>
          </cell>
          <cell r="BD13">
            <v>303545330</v>
          </cell>
          <cell r="BE13">
            <v>1097496802</v>
          </cell>
          <cell r="BF13">
            <v>186403533.46000004</v>
          </cell>
          <cell r="BG13">
            <v>84106262.439999998</v>
          </cell>
          <cell r="BH13">
            <v>805584296</v>
          </cell>
          <cell r="BI13">
            <v>201194502</v>
          </cell>
          <cell r="BJ13">
            <v>8322749725</v>
          </cell>
          <cell r="BK13">
            <v>693540710</v>
          </cell>
          <cell r="BL13">
            <v>88568831</v>
          </cell>
          <cell r="BM13">
            <v>106753165</v>
          </cell>
          <cell r="BN13">
            <v>72584384.75</v>
          </cell>
          <cell r="BO13">
            <v>291893294</v>
          </cell>
          <cell r="BP13">
            <v>943030337.75999999</v>
          </cell>
          <cell r="BQ13">
            <v>182329432</v>
          </cell>
          <cell r="BR13">
            <v>24556469348</v>
          </cell>
          <cell r="BS13">
            <v>2526635929</v>
          </cell>
          <cell r="BT13">
            <v>119660738</v>
          </cell>
          <cell r="BU13">
            <v>1427314949</v>
          </cell>
          <cell r="BV13">
            <v>423225290</v>
          </cell>
          <cell r="BW13">
            <v>89373924</v>
          </cell>
          <cell r="BX13">
            <v>144028502</v>
          </cell>
          <cell r="BY13" t="e">
            <v>#N/A</v>
          </cell>
          <cell r="BZ13">
            <v>430635546</v>
          </cell>
          <cell r="CA13">
            <v>861945119</v>
          </cell>
          <cell r="CB13">
            <v>371114633</v>
          </cell>
          <cell r="CC13">
            <v>58825503</v>
          </cell>
        </row>
        <row r="14">
          <cell r="A14" t="str">
            <v>kWh - Residential</v>
          </cell>
          <cell r="B14" t="str">
            <v>YVR</v>
          </cell>
          <cell r="C14">
            <v>2011</v>
          </cell>
          <cell r="D14">
            <v>89074837.200000003</v>
          </cell>
          <cell r="E14">
            <v>9619204</v>
          </cell>
          <cell r="F14">
            <v>262832708</v>
          </cell>
          <cell r="G14">
            <v>81900003</v>
          </cell>
          <cell r="H14">
            <v>291380972</v>
          </cell>
          <cell r="I14">
            <v>572972972</v>
          </cell>
          <cell r="J14">
            <v>401509896</v>
          </cell>
          <cell r="K14">
            <v>113713474</v>
          </cell>
          <cell r="L14">
            <v>45610704</v>
          </cell>
          <cell r="M14">
            <v>14223450</v>
          </cell>
          <cell r="N14">
            <v>235820564</v>
          </cell>
          <cell r="O14" t="e">
            <v>#N/A</v>
          </cell>
          <cell r="P14">
            <v>116182693</v>
          </cell>
          <cell r="Q14">
            <v>19799668</v>
          </cell>
          <cell r="R14">
            <v>91867820</v>
          </cell>
          <cell r="S14">
            <v>1583986482</v>
          </cell>
          <cell r="T14">
            <v>639713622</v>
          </cell>
          <cell r="U14">
            <v>141582564</v>
          </cell>
          <cell r="V14">
            <v>33345047</v>
          </cell>
          <cell r="W14">
            <v>256110722</v>
          </cell>
          <cell r="X14">
            <v>140929999</v>
          </cell>
          <cell r="Y14">
            <v>38677253</v>
          </cell>
          <cell r="Z14">
            <v>397659452.85000002</v>
          </cell>
          <cell r="AA14">
            <v>92957574</v>
          </cell>
          <cell r="AB14">
            <v>365414554</v>
          </cell>
          <cell r="AC14">
            <v>171241285</v>
          </cell>
          <cell r="AD14">
            <v>213773795</v>
          </cell>
          <cell r="AE14">
            <v>24683731</v>
          </cell>
          <cell r="AF14">
            <v>1657856641</v>
          </cell>
          <cell r="AG14">
            <v>14717280</v>
          </cell>
          <cell r="AH14">
            <v>51273093</v>
          </cell>
          <cell r="AI14">
            <v>1171420497</v>
          </cell>
          <cell r="AJ14">
            <v>12008000000</v>
          </cell>
          <cell r="AK14">
            <v>2234649169</v>
          </cell>
          <cell r="AL14">
            <v>161295429</v>
          </cell>
          <cell r="AM14">
            <v>38295451</v>
          </cell>
          <cell r="AN14">
            <v>189907882</v>
          </cell>
          <cell r="AO14">
            <v>647280211</v>
          </cell>
          <cell r="AP14">
            <v>52183168</v>
          </cell>
          <cell r="AQ14">
            <v>77905420</v>
          </cell>
          <cell r="AR14">
            <v>1128889459</v>
          </cell>
          <cell r="AS14">
            <v>63675422</v>
          </cell>
          <cell r="AT14">
            <v>47493182</v>
          </cell>
          <cell r="AU14">
            <v>268725505</v>
          </cell>
          <cell r="AV14">
            <v>279717978</v>
          </cell>
          <cell r="AW14">
            <v>423279611</v>
          </cell>
          <cell r="AX14">
            <v>67755761</v>
          </cell>
          <cell r="AY14">
            <v>144425322</v>
          </cell>
          <cell r="AZ14">
            <v>207358082</v>
          </cell>
          <cell r="BA14">
            <v>42010127</v>
          </cell>
          <cell r="BB14">
            <v>588602039.60000002</v>
          </cell>
          <cell r="BC14">
            <v>85903538</v>
          </cell>
          <cell r="BD14">
            <v>106490221</v>
          </cell>
          <cell r="BE14">
            <v>484617834</v>
          </cell>
          <cell r="BF14">
            <v>79270519.859999999</v>
          </cell>
          <cell r="BG14">
            <v>33051993.399999999</v>
          </cell>
          <cell r="BH14">
            <v>291989685</v>
          </cell>
          <cell r="BI14">
            <v>64016802</v>
          </cell>
          <cell r="BJ14">
            <v>2727580225</v>
          </cell>
          <cell r="BK14">
            <v>331996914</v>
          </cell>
          <cell r="BL14">
            <v>30085520</v>
          </cell>
          <cell r="BM14">
            <v>43287278</v>
          </cell>
          <cell r="BN14">
            <v>32694600.370000001</v>
          </cell>
          <cell r="BO14">
            <v>118988254</v>
          </cell>
          <cell r="BP14">
            <v>337828769</v>
          </cell>
          <cell r="BQ14">
            <v>50395810</v>
          </cell>
          <cell r="BR14">
            <v>5204012541</v>
          </cell>
          <cell r="BS14">
            <v>955895335</v>
          </cell>
          <cell r="BT14">
            <v>81939538</v>
          </cell>
          <cell r="BU14">
            <v>408768579</v>
          </cell>
          <cell r="BV14">
            <v>158621921</v>
          </cell>
          <cell r="BW14">
            <v>22862125</v>
          </cell>
          <cell r="BX14">
            <v>25980284</v>
          </cell>
          <cell r="BY14" t="e">
            <v>#N/A</v>
          </cell>
          <cell r="BZ14">
            <v>200662039</v>
          </cell>
          <cell r="CA14">
            <v>361978770</v>
          </cell>
          <cell r="CB14">
            <v>109805906</v>
          </cell>
          <cell r="CC14">
            <v>29052645</v>
          </cell>
        </row>
        <row r="15">
          <cell r="A15" t="str">
            <v>kWh - Other</v>
          </cell>
          <cell r="B15" t="str">
            <v>YVO</v>
          </cell>
          <cell r="C15">
            <v>2011</v>
          </cell>
          <cell r="D15">
            <v>99750751.299999997</v>
          </cell>
          <cell r="E15">
            <v>12294945</v>
          </cell>
          <cell r="F15">
            <v>750629746</v>
          </cell>
          <cell r="G15">
            <v>194200186</v>
          </cell>
          <cell r="H15">
            <v>618516753.10000002</v>
          </cell>
          <cell r="I15">
            <v>1124233441</v>
          </cell>
          <cell r="J15">
            <v>1087066876.01</v>
          </cell>
          <cell r="K15">
            <v>159903910</v>
          </cell>
          <cell r="L15">
            <v>101583505</v>
          </cell>
          <cell r="M15">
            <v>12339430</v>
          </cell>
          <cell r="N15">
            <v>477415100</v>
          </cell>
          <cell r="O15" t="e">
            <v>#N/A</v>
          </cell>
          <cell r="P15">
            <v>188513033</v>
          </cell>
          <cell r="Q15">
            <v>9188707</v>
          </cell>
          <cell r="R15">
            <v>152114379</v>
          </cell>
          <cell r="S15">
            <v>5991603742</v>
          </cell>
          <cell r="T15">
            <v>1610788537</v>
          </cell>
          <cell r="U15">
            <v>314450834</v>
          </cell>
          <cell r="V15">
            <v>30297353</v>
          </cell>
          <cell r="W15">
            <v>277576587</v>
          </cell>
          <cell r="X15">
            <v>436554415</v>
          </cell>
          <cell r="Y15">
            <v>39634121</v>
          </cell>
          <cell r="Z15">
            <v>526167628.79999995</v>
          </cell>
          <cell r="AA15">
            <v>87846365.709999979</v>
          </cell>
          <cell r="AB15">
            <v>1299540901</v>
          </cell>
          <cell r="AC15">
            <v>249836815</v>
          </cell>
          <cell r="AD15">
            <v>277868210</v>
          </cell>
          <cell r="AE15">
            <v>53022377</v>
          </cell>
          <cell r="AF15">
            <v>2969113752</v>
          </cell>
          <cell r="AG15">
            <v>4943204</v>
          </cell>
          <cell r="AH15">
            <v>101196761</v>
          </cell>
          <cell r="AI15">
            <v>2636409381.9700003</v>
          </cell>
          <cell r="AJ15">
            <v>11406000000</v>
          </cell>
          <cell r="AK15">
            <v>5308152482</v>
          </cell>
          <cell r="AL15">
            <v>86473471</v>
          </cell>
          <cell r="AM15">
            <v>67248703</v>
          </cell>
          <cell r="AN15">
            <v>520526146</v>
          </cell>
          <cell r="AO15">
            <v>1188734835</v>
          </cell>
          <cell r="AP15">
            <v>178873702</v>
          </cell>
          <cell r="AQ15">
            <v>126472785</v>
          </cell>
          <cell r="AR15">
            <v>2158000857</v>
          </cell>
          <cell r="AS15">
            <v>151443535</v>
          </cell>
          <cell r="AT15">
            <v>151696434</v>
          </cell>
          <cell r="AU15">
            <v>477865624</v>
          </cell>
          <cell r="AV15">
            <v>400733893</v>
          </cell>
          <cell r="AW15">
            <v>752745763</v>
          </cell>
          <cell r="AX15">
            <v>114705462</v>
          </cell>
          <cell r="AY15">
            <v>219767074</v>
          </cell>
          <cell r="AZ15">
            <v>353777362</v>
          </cell>
          <cell r="BA15">
            <v>72304239</v>
          </cell>
          <cell r="BB15">
            <v>918515536.20999992</v>
          </cell>
          <cell r="BC15">
            <v>157570879</v>
          </cell>
          <cell r="BD15">
            <v>197055109</v>
          </cell>
          <cell r="BE15">
            <v>612878968</v>
          </cell>
          <cell r="BF15">
            <v>107133013.60000004</v>
          </cell>
          <cell r="BG15">
            <v>51054269.039999999</v>
          </cell>
          <cell r="BH15">
            <v>513594611</v>
          </cell>
          <cell r="BI15">
            <v>137177700</v>
          </cell>
          <cell r="BJ15">
            <v>5595169500</v>
          </cell>
          <cell r="BK15">
            <v>361543796</v>
          </cell>
          <cell r="BL15">
            <v>58483311</v>
          </cell>
          <cell r="BM15">
            <v>63465887</v>
          </cell>
          <cell r="BN15">
            <v>39889784.379999995</v>
          </cell>
          <cell r="BO15">
            <v>172905040</v>
          </cell>
          <cell r="BP15">
            <v>605201568.75999999</v>
          </cell>
          <cell r="BQ15">
            <v>131933622</v>
          </cell>
          <cell r="BR15">
            <v>19352456807</v>
          </cell>
          <cell r="BS15">
            <v>1570740594</v>
          </cell>
          <cell r="BT15">
            <v>37721200</v>
          </cell>
          <cell r="BU15">
            <v>1018546370</v>
          </cell>
          <cell r="BV15">
            <v>264603369</v>
          </cell>
          <cell r="BW15">
            <v>66511799</v>
          </cell>
          <cell r="BX15">
            <v>118048218</v>
          </cell>
          <cell r="BY15" t="e">
            <v>#N/A</v>
          </cell>
          <cell r="BZ15">
            <v>229973507</v>
          </cell>
          <cell r="CA15">
            <v>499966349</v>
          </cell>
          <cell r="CB15">
            <v>261308727</v>
          </cell>
          <cell r="CC15">
            <v>29772858</v>
          </cell>
        </row>
        <row r="16">
          <cell r="A16" t="str">
            <v>kW</v>
          </cell>
          <cell r="B16" t="str">
            <v>YD</v>
          </cell>
          <cell r="C16">
            <v>2011</v>
          </cell>
          <cell r="D16">
            <v>176514</v>
          </cell>
          <cell r="E16">
            <v>3940</v>
          </cell>
          <cell r="F16">
            <v>1361225</v>
          </cell>
          <cell r="G16">
            <v>306914</v>
          </cell>
          <cell r="H16">
            <v>1501091</v>
          </cell>
          <cell r="I16">
            <v>2414370</v>
          </cell>
          <cell r="J16">
            <v>2480010</v>
          </cell>
          <cell r="K16">
            <v>342446</v>
          </cell>
          <cell r="L16">
            <v>206965</v>
          </cell>
          <cell r="M16">
            <v>19548</v>
          </cell>
          <cell r="N16">
            <v>1026002</v>
          </cell>
          <cell r="O16" t="e">
            <v>#N/A</v>
          </cell>
          <cell r="P16">
            <v>327346</v>
          </cell>
          <cell r="Q16">
            <v>12041</v>
          </cell>
          <cell r="R16">
            <v>121671195</v>
          </cell>
          <cell r="S16">
            <v>13100702</v>
          </cell>
          <cell r="T16">
            <v>3329464</v>
          </cell>
          <cell r="U16">
            <v>692866</v>
          </cell>
          <cell r="V16">
            <v>40289</v>
          </cell>
          <cell r="W16">
            <v>472700</v>
          </cell>
          <cell r="X16">
            <v>952949</v>
          </cell>
          <cell r="Y16">
            <v>63157</v>
          </cell>
          <cell r="Z16">
            <v>957195</v>
          </cell>
          <cell r="AA16">
            <v>180394</v>
          </cell>
          <cell r="AB16">
            <v>2522857</v>
          </cell>
          <cell r="AC16">
            <v>597505</v>
          </cell>
          <cell r="AD16">
            <v>613138</v>
          </cell>
          <cell r="AE16">
            <v>124842</v>
          </cell>
          <cell r="AF16">
            <v>7566355</v>
          </cell>
          <cell r="AG16">
            <v>11645</v>
          </cell>
          <cell r="AH16">
            <v>211682</v>
          </cell>
          <cell r="AI16">
            <v>5660214</v>
          </cell>
          <cell r="AJ16">
            <v>27482944</v>
          </cell>
          <cell r="AK16">
            <v>10275130</v>
          </cell>
          <cell r="AL16">
            <v>149826</v>
          </cell>
          <cell r="AM16">
            <v>104670</v>
          </cell>
          <cell r="AN16">
            <v>1060695</v>
          </cell>
          <cell r="AO16">
            <v>2399792</v>
          </cell>
          <cell r="AP16">
            <v>0</v>
          </cell>
          <cell r="AQ16">
            <v>202946</v>
          </cell>
          <cell r="AR16">
            <v>4430654</v>
          </cell>
          <cell r="AS16">
            <v>303852</v>
          </cell>
          <cell r="AT16">
            <v>325169</v>
          </cell>
          <cell r="AU16">
            <v>939588</v>
          </cell>
          <cell r="AV16">
            <v>0</v>
          </cell>
          <cell r="AW16">
            <v>1793543</v>
          </cell>
          <cell r="AX16">
            <v>191907</v>
          </cell>
          <cell r="AY16">
            <v>339114</v>
          </cell>
          <cell r="AZ16">
            <v>653419</v>
          </cell>
          <cell r="BA16">
            <v>167396</v>
          </cell>
          <cell r="BB16">
            <v>1924820</v>
          </cell>
          <cell r="BC16">
            <v>298210</v>
          </cell>
          <cell r="BD16">
            <v>390760</v>
          </cell>
          <cell r="BE16">
            <v>1143474</v>
          </cell>
          <cell r="BF16">
            <v>203575</v>
          </cell>
          <cell r="BG16">
            <v>81419</v>
          </cell>
          <cell r="BH16">
            <v>970160</v>
          </cell>
          <cell r="BI16">
            <v>374429</v>
          </cell>
          <cell r="BJ16">
            <v>12137194</v>
          </cell>
          <cell r="BK16">
            <v>629024</v>
          </cell>
          <cell r="BL16">
            <v>130980</v>
          </cell>
          <cell r="BM16">
            <v>130762</v>
          </cell>
          <cell r="BN16">
            <v>66653</v>
          </cell>
          <cell r="BO16">
            <v>340694</v>
          </cell>
          <cell r="BP16">
            <v>1259579</v>
          </cell>
          <cell r="BQ16">
            <v>273364</v>
          </cell>
          <cell r="BR16">
            <v>42472355</v>
          </cell>
          <cell r="BS16">
            <v>2908072</v>
          </cell>
          <cell r="BT16">
            <v>52755</v>
          </cell>
          <cell r="BU16">
            <v>1976076</v>
          </cell>
          <cell r="BV16">
            <v>587446</v>
          </cell>
          <cell r="BW16">
            <v>139574</v>
          </cell>
          <cell r="BX16">
            <v>249291</v>
          </cell>
          <cell r="BY16" t="e">
            <v>#N/A</v>
          </cell>
          <cell r="BZ16">
            <v>466442</v>
          </cell>
          <cell r="CA16">
            <v>966654</v>
          </cell>
          <cell r="CB16">
            <v>572496</v>
          </cell>
          <cell r="CC16">
            <v>48371</v>
          </cell>
        </row>
        <row r="17">
          <cell r="A17" t="str">
            <v>kW - Residential</v>
          </cell>
          <cell r="B17" t="str">
            <v>YDR</v>
          </cell>
          <cell r="C17">
            <v>2011</v>
          </cell>
          <cell r="D17">
            <v>0</v>
          </cell>
          <cell r="E17">
            <v>0</v>
          </cell>
          <cell r="F17">
            <v>0</v>
          </cell>
          <cell r="G17">
            <v>0</v>
          </cell>
          <cell r="H17">
            <v>0</v>
          </cell>
          <cell r="I17">
            <v>0</v>
          </cell>
          <cell r="J17">
            <v>0</v>
          </cell>
          <cell r="K17">
            <v>0</v>
          </cell>
          <cell r="L17">
            <v>0</v>
          </cell>
          <cell r="M17">
            <v>0</v>
          </cell>
          <cell r="N17">
            <v>0</v>
          </cell>
          <cell r="O17" t="e">
            <v>#N/A</v>
          </cell>
          <cell r="P17">
            <v>0</v>
          </cell>
          <cell r="Q17">
            <v>0</v>
          </cell>
          <cell r="R17">
            <v>91867820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t="e">
            <v>#N/A</v>
          </cell>
          <cell r="BZ17">
            <v>0</v>
          </cell>
          <cell r="CA17">
            <v>0</v>
          </cell>
          <cell r="CB17">
            <v>0</v>
          </cell>
          <cell r="CC17">
            <v>0</v>
          </cell>
        </row>
        <row r="18">
          <cell r="A18" t="str">
            <v>kW - Other</v>
          </cell>
          <cell r="B18" t="str">
            <v>YDO</v>
          </cell>
          <cell r="C18">
            <v>2011</v>
          </cell>
          <cell r="D18">
            <v>176514</v>
          </cell>
          <cell r="E18">
            <v>3940</v>
          </cell>
          <cell r="F18">
            <v>1361225</v>
          </cell>
          <cell r="G18">
            <v>306914</v>
          </cell>
          <cell r="H18">
            <v>1501091</v>
          </cell>
          <cell r="I18">
            <v>2414370</v>
          </cell>
          <cell r="J18">
            <v>2480010</v>
          </cell>
          <cell r="K18">
            <v>342446</v>
          </cell>
          <cell r="L18">
            <v>206965</v>
          </cell>
          <cell r="M18">
            <v>19548</v>
          </cell>
          <cell r="N18">
            <v>1026002</v>
          </cell>
          <cell r="O18" t="e">
            <v>#N/A</v>
          </cell>
          <cell r="P18">
            <v>327346</v>
          </cell>
          <cell r="Q18">
            <v>12041</v>
          </cell>
          <cell r="R18">
            <v>29803375</v>
          </cell>
          <cell r="S18">
            <v>13100702</v>
          </cell>
          <cell r="T18">
            <v>3329464</v>
          </cell>
          <cell r="U18">
            <v>692866</v>
          </cell>
          <cell r="V18">
            <v>40289</v>
          </cell>
          <cell r="W18">
            <v>472700</v>
          </cell>
          <cell r="X18">
            <v>952949</v>
          </cell>
          <cell r="Y18">
            <v>63157</v>
          </cell>
          <cell r="Z18">
            <v>957195</v>
          </cell>
          <cell r="AA18">
            <v>180394</v>
          </cell>
          <cell r="AB18">
            <v>2522857</v>
          </cell>
          <cell r="AC18">
            <v>597505</v>
          </cell>
          <cell r="AD18">
            <v>613138</v>
          </cell>
          <cell r="AE18">
            <v>124842</v>
          </cell>
          <cell r="AF18">
            <v>7566355</v>
          </cell>
          <cell r="AG18">
            <v>11645</v>
          </cell>
          <cell r="AH18">
            <v>211682</v>
          </cell>
          <cell r="AI18">
            <v>5660214</v>
          </cell>
          <cell r="AJ18">
            <v>27482944</v>
          </cell>
          <cell r="AK18">
            <v>10275130</v>
          </cell>
          <cell r="AL18">
            <v>149826</v>
          </cell>
          <cell r="AM18">
            <v>104670</v>
          </cell>
          <cell r="AN18">
            <v>1060695</v>
          </cell>
          <cell r="AO18">
            <v>2399792</v>
          </cell>
          <cell r="AP18">
            <v>0</v>
          </cell>
          <cell r="AQ18">
            <v>202946</v>
          </cell>
          <cell r="AR18">
            <v>4430654</v>
          </cell>
          <cell r="AS18">
            <v>303852</v>
          </cell>
          <cell r="AT18">
            <v>325169</v>
          </cell>
          <cell r="AU18">
            <v>939588</v>
          </cell>
          <cell r="AV18">
            <v>0</v>
          </cell>
          <cell r="AW18">
            <v>1793543</v>
          </cell>
          <cell r="AX18">
            <v>191907</v>
          </cell>
          <cell r="AY18">
            <v>339114</v>
          </cell>
          <cell r="AZ18">
            <v>653419</v>
          </cell>
          <cell r="BA18">
            <v>167396</v>
          </cell>
          <cell r="BB18">
            <v>1924820</v>
          </cell>
          <cell r="BC18">
            <v>298210</v>
          </cell>
          <cell r="BD18">
            <v>390760</v>
          </cell>
          <cell r="BE18">
            <v>1143474</v>
          </cell>
          <cell r="BF18">
            <v>203575</v>
          </cell>
          <cell r="BG18">
            <v>81419</v>
          </cell>
          <cell r="BH18">
            <v>970160</v>
          </cell>
          <cell r="BI18">
            <v>374429</v>
          </cell>
          <cell r="BJ18">
            <v>12137194</v>
          </cell>
          <cell r="BK18">
            <v>629024</v>
          </cell>
          <cell r="BL18">
            <v>130980</v>
          </cell>
          <cell r="BM18">
            <v>130762</v>
          </cell>
          <cell r="BN18">
            <v>66653</v>
          </cell>
          <cell r="BO18">
            <v>340694</v>
          </cell>
          <cell r="BP18">
            <v>1259579</v>
          </cell>
          <cell r="BQ18">
            <v>273364</v>
          </cell>
          <cell r="BR18">
            <v>42472355</v>
          </cell>
          <cell r="BS18">
            <v>2908072</v>
          </cell>
          <cell r="BT18">
            <v>52755</v>
          </cell>
          <cell r="BU18">
            <v>1976076</v>
          </cell>
          <cell r="BV18">
            <v>587446</v>
          </cell>
          <cell r="BW18">
            <v>139574</v>
          </cell>
          <cell r="BX18">
            <v>249291</v>
          </cell>
          <cell r="BY18" t="e">
            <v>#N/A</v>
          </cell>
          <cell r="BZ18">
            <v>466442</v>
          </cell>
          <cell r="CA18">
            <v>966654</v>
          </cell>
          <cell r="CB18">
            <v>572496</v>
          </cell>
          <cell r="CC18">
            <v>48371</v>
          </cell>
        </row>
        <row r="19">
          <cell r="A19" t="str">
            <v>Total service area</v>
          </cell>
          <cell r="B19" t="str">
            <v>AREA</v>
          </cell>
          <cell r="C19">
            <v>2011</v>
          </cell>
          <cell r="D19">
            <v>14200</v>
          </cell>
          <cell r="E19">
            <v>380</v>
          </cell>
          <cell r="F19">
            <v>201</v>
          </cell>
          <cell r="G19">
            <v>258</v>
          </cell>
          <cell r="H19">
            <v>74</v>
          </cell>
          <cell r="I19">
            <v>188</v>
          </cell>
          <cell r="J19">
            <v>303</v>
          </cell>
          <cell r="K19">
            <v>168</v>
          </cell>
          <cell r="L19">
            <v>10</v>
          </cell>
          <cell r="M19">
            <v>2</v>
          </cell>
          <cell r="N19">
            <v>70</v>
          </cell>
          <cell r="O19" t="e">
            <v>#N/A</v>
          </cell>
          <cell r="P19">
            <v>57</v>
          </cell>
          <cell r="Q19">
            <v>5</v>
          </cell>
          <cell r="R19">
            <v>22</v>
          </cell>
          <cell r="S19">
            <v>287</v>
          </cell>
          <cell r="T19">
            <v>120</v>
          </cell>
          <cell r="U19">
            <v>1887</v>
          </cell>
          <cell r="V19">
            <v>99</v>
          </cell>
          <cell r="W19">
            <v>104</v>
          </cell>
          <cell r="X19">
            <v>44</v>
          </cell>
          <cell r="Y19">
            <v>26</v>
          </cell>
          <cell r="Z19">
            <v>410</v>
          </cell>
          <cell r="AA19">
            <v>69</v>
          </cell>
          <cell r="AB19">
            <v>93</v>
          </cell>
          <cell r="AC19">
            <v>1252</v>
          </cell>
          <cell r="AD19">
            <v>280</v>
          </cell>
          <cell r="AE19">
            <v>93</v>
          </cell>
          <cell r="AF19">
            <v>426</v>
          </cell>
          <cell r="AG19">
            <v>9</v>
          </cell>
          <cell r="AH19">
            <v>8</v>
          </cell>
          <cell r="AI19">
            <v>269</v>
          </cell>
          <cell r="AJ19">
            <v>650000</v>
          </cell>
          <cell r="AK19">
            <v>1104</v>
          </cell>
          <cell r="AL19">
            <v>292</v>
          </cell>
          <cell r="AM19">
            <v>24</v>
          </cell>
          <cell r="AN19">
            <v>32</v>
          </cell>
          <cell r="AO19">
            <v>405</v>
          </cell>
          <cell r="AP19">
            <v>27</v>
          </cell>
          <cell r="AQ19">
            <v>144</v>
          </cell>
          <cell r="AR19">
            <v>421</v>
          </cell>
          <cell r="AS19">
            <v>26</v>
          </cell>
          <cell r="AT19">
            <v>25</v>
          </cell>
          <cell r="AU19">
            <v>371</v>
          </cell>
          <cell r="AV19">
            <v>74</v>
          </cell>
          <cell r="AW19">
            <v>827</v>
          </cell>
          <cell r="AX19">
            <v>133</v>
          </cell>
          <cell r="AY19">
            <v>693</v>
          </cell>
          <cell r="AZ19">
            <v>330</v>
          </cell>
          <cell r="BA19">
            <v>28</v>
          </cell>
          <cell r="BB19">
            <v>143</v>
          </cell>
          <cell r="BC19">
            <v>17</v>
          </cell>
          <cell r="BD19">
            <v>27</v>
          </cell>
          <cell r="BE19">
            <v>149</v>
          </cell>
          <cell r="BF19">
            <v>35</v>
          </cell>
          <cell r="BG19">
            <v>15</v>
          </cell>
          <cell r="BH19">
            <v>63</v>
          </cell>
          <cell r="BI19">
            <v>122</v>
          </cell>
          <cell r="BJ19">
            <v>806</v>
          </cell>
          <cell r="BK19">
            <v>342</v>
          </cell>
          <cell r="BL19">
            <v>13</v>
          </cell>
          <cell r="BM19">
            <v>18</v>
          </cell>
          <cell r="BN19">
            <v>536</v>
          </cell>
          <cell r="BO19">
            <v>33</v>
          </cell>
          <cell r="BP19">
            <v>381</v>
          </cell>
          <cell r="BQ19">
            <v>24</v>
          </cell>
          <cell r="BR19">
            <v>630</v>
          </cell>
          <cell r="BS19">
            <v>639</v>
          </cell>
          <cell r="BT19">
            <v>61</v>
          </cell>
          <cell r="BU19">
            <v>672</v>
          </cell>
          <cell r="BV19">
            <v>86</v>
          </cell>
          <cell r="BW19">
            <v>14</v>
          </cell>
          <cell r="BX19">
            <v>8</v>
          </cell>
          <cell r="BY19" t="e">
            <v>#N/A</v>
          </cell>
          <cell r="BZ19">
            <v>64</v>
          </cell>
          <cell r="CA19">
            <v>148</v>
          </cell>
          <cell r="CB19">
            <v>29</v>
          </cell>
          <cell r="CC19">
            <v>66</v>
          </cell>
        </row>
        <row r="20">
          <cell r="A20" t="str">
            <v>Urban service area</v>
          </cell>
          <cell r="B20" t="str">
            <v>AREAURB</v>
          </cell>
          <cell r="C20">
            <v>2011</v>
          </cell>
          <cell r="D20">
            <v>3</v>
          </cell>
          <cell r="E20">
            <v>380</v>
          </cell>
          <cell r="F20">
            <v>54</v>
          </cell>
          <cell r="G20">
            <v>4</v>
          </cell>
          <cell r="H20">
            <v>74</v>
          </cell>
          <cell r="I20">
            <v>98</v>
          </cell>
          <cell r="J20">
            <v>90</v>
          </cell>
          <cell r="K20">
            <v>35</v>
          </cell>
          <cell r="L20">
            <v>10</v>
          </cell>
          <cell r="M20">
            <v>2</v>
          </cell>
          <cell r="N20">
            <v>70</v>
          </cell>
          <cell r="O20" t="e">
            <v>#N/A</v>
          </cell>
          <cell r="P20">
            <v>57</v>
          </cell>
          <cell r="Q20">
            <v>5</v>
          </cell>
          <cell r="R20">
            <v>22</v>
          </cell>
          <cell r="S20">
            <v>287</v>
          </cell>
          <cell r="T20">
            <v>120</v>
          </cell>
          <cell r="U20">
            <v>57</v>
          </cell>
          <cell r="V20">
            <v>26</v>
          </cell>
          <cell r="W20">
            <v>66</v>
          </cell>
          <cell r="X20">
            <v>44</v>
          </cell>
          <cell r="Y20">
            <v>26</v>
          </cell>
          <cell r="Z20">
            <v>290</v>
          </cell>
          <cell r="AA20">
            <v>19</v>
          </cell>
          <cell r="AB20">
            <v>93</v>
          </cell>
          <cell r="AC20">
            <v>36</v>
          </cell>
          <cell r="AD20">
            <v>25</v>
          </cell>
          <cell r="AE20">
            <v>93</v>
          </cell>
          <cell r="AF20">
            <v>338</v>
          </cell>
          <cell r="AG20">
            <v>9</v>
          </cell>
          <cell r="AH20">
            <v>8</v>
          </cell>
          <cell r="AI20">
            <v>269</v>
          </cell>
          <cell r="AJ20" t="str">
            <v>0</v>
          </cell>
          <cell r="AK20">
            <v>454</v>
          </cell>
          <cell r="AL20">
            <v>71</v>
          </cell>
          <cell r="AM20">
            <v>24</v>
          </cell>
          <cell r="AN20">
            <v>32</v>
          </cell>
          <cell r="AO20">
            <v>125</v>
          </cell>
          <cell r="AP20">
            <v>27</v>
          </cell>
          <cell r="AQ20">
            <v>16</v>
          </cell>
          <cell r="AR20">
            <v>163</v>
          </cell>
          <cell r="AS20">
            <v>26</v>
          </cell>
          <cell r="AT20">
            <v>25</v>
          </cell>
          <cell r="AU20">
            <v>56</v>
          </cell>
          <cell r="AV20">
            <v>71</v>
          </cell>
          <cell r="AW20">
            <v>68</v>
          </cell>
          <cell r="AX20">
            <v>14</v>
          </cell>
          <cell r="AY20">
            <v>144</v>
          </cell>
          <cell r="AZ20">
            <v>51</v>
          </cell>
          <cell r="BA20">
            <v>28</v>
          </cell>
          <cell r="BB20">
            <v>102</v>
          </cell>
          <cell r="BC20">
            <v>17</v>
          </cell>
          <cell r="BD20">
            <v>27</v>
          </cell>
          <cell r="BE20">
            <v>71</v>
          </cell>
          <cell r="BF20">
            <v>35</v>
          </cell>
          <cell r="BG20">
            <v>15</v>
          </cell>
          <cell r="BH20">
            <v>63</v>
          </cell>
          <cell r="BI20">
            <v>20</v>
          </cell>
          <cell r="BJ20">
            <v>503</v>
          </cell>
          <cell r="BK20">
            <v>58</v>
          </cell>
          <cell r="BL20">
            <v>13</v>
          </cell>
          <cell r="BM20">
            <v>11</v>
          </cell>
          <cell r="BN20">
            <v>6</v>
          </cell>
          <cell r="BO20">
            <v>33</v>
          </cell>
          <cell r="BP20">
            <v>122</v>
          </cell>
          <cell r="BQ20">
            <v>21</v>
          </cell>
          <cell r="BR20">
            <v>630</v>
          </cell>
          <cell r="BS20">
            <v>253</v>
          </cell>
          <cell r="BT20">
            <v>53</v>
          </cell>
          <cell r="BU20">
            <v>65</v>
          </cell>
          <cell r="BV20">
            <v>86</v>
          </cell>
          <cell r="BW20">
            <v>14</v>
          </cell>
          <cell r="BX20">
            <v>8</v>
          </cell>
          <cell r="BY20" t="e">
            <v>#N/A</v>
          </cell>
          <cell r="BZ20">
            <v>64</v>
          </cell>
          <cell r="CA20">
            <v>67</v>
          </cell>
          <cell r="CB20">
            <v>29</v>
          </cell>
          <cell r="CC20">
            <v>18</v>
          </cell>
        </row>
        <row r="21">
          <cell r="A21" t="str">
            <v>Rural service area</v>
          </cell>
          <cell r="B21" t="str">
            <v>AREARUR</v>
          </cell>
          <cell r="C21">
            <v>2011</v>
          </cell>
          <cell r="D21">
            <v>14197</v>
          </cell>
          <cell r="E21">
            <v>0</v>
          </cell>
          <cell r="F21">
            <v>147</v>
          </cell>
          <cell r="G21">
            <v>254</v>
          </cell>
          <cell r="H21">
            <v>0</v>
          </cell>
          <cell r="I21">
            <v>90</v>
          </cell>
          <cell r="J21">
            <v>213</v>
          </cell>
          <cell r="K21">
            <v>133</v>
          </cell>
          <cell r="L21">
            <v>0</v>
          </cell>
          <cell r="M21" t="str">
            <v>0</v>
          </cell>
          <cell r="N21">
            <v>0</v>
          </cell>
          <cell r="O21" t="e">
            <v>#N/A</v>
          </cell>
          <cell r="P21" t="str">
            <v>0</v>
          </cell>
          <cell r="Q21">
            <v>0</v>
          </cell>
          <cell r="R21">
            <v>0</v>
          </cell>
          <cell r="S21">
            <v>0</v>
          </cell>
          <cell r="T21">
            <v>0</v>
          </cell>
          <cell r="U21">
            <v>1830</v>
          </cell>
          <cell r="V21">
            <v>73</v>
          </cell>
          <cell r="W21">
            <v>38</v>
          </cell>
          <cell r="X21">
            <v>0</v>
          </cell>
          <cell r="Y21">
            <v>0</v>
          </cell>
          <cell r="Z21">
            <v>120</v>
          </cell>
          <cell r="AA21">
            <v>50</v>
          </cell>
          <cell r="AB21">
            <v>0</v>
          </cell>
          <cell r="AC21">
            <v>1216</v>
          </cell>
          <cell r="AD21">
            <v>255</v>
          </cell>
          <cell r="AE21" t="str">
            <v>0</v>
          </cell>
          <cell r="AF21">
            <v>88</v>
          </cell>
          <cell r="AG21" t="str">
            <v>0</v>
          </cell>
          <cell r="AH21">
            <v>0</v>
          </cell>
          <cell r="AI21">
            <v>0</v>
          </cell>
          <cell r="AJ21">
            <v>650000</v>
          </cell>
          <cell r="AK21">
            <v>650</v>
          </cell>
          <cell r="AL21">
            <v>221</v>
          </cell>
          <cell r="AM21" t="str">
            <v>0</v>
          </cell>
          <cell r="AN21">
            <v>0</v>
          </cell>
          <cell r="AO21">
            <v>280</v>
          </cell>
          <cell r="AP21">
            <v>0</v>
          </cell>
          <cell r="AQ21">
            <v>128</v>
          </cell>
          <cell r="AR21">
            <v>258</v>
          </cell>
          <cell r="AS21">
            <v>0</v>
          </cell>
          <cell r="AT21">
            <v>0</v>
          </cell>
          <cell r="AU21">
            <v>315</v>
          </cell>
          <cell r="AV21">
            <v>3</v>
          </cell>
          <cell r="AW21">
            <v>759</v>
          </cell>
          <cell r="AX21">
            <v>119</v>
          </cell>
          <cell r="AY21">
            <v>549</v>
          </cell>
          <cell r="AZ21">
            <v>279</v>
          </cell>
          <cell r="BA21" t="str">
            <v>0</v>
          </cell>
          <cell r="BB21">
            <v>41</v>
          </cell>
          <cell r="BC21">
            <v>0</v>
          </cell>
          <cell r="BD21" t="str">
            <v>0</v>
          </cell>
          <cell r="BE21">
            <v>78</v>
          </cell>
          <cell r="BF21" t="str">
            <v>0</v>
          </cell>
          <cell r="BG21" t="str">
            <v>0</v>
          </cell>
          <cell r="BH21">
            <v>0</v>
          </cell>
          <cell r="BI21">
            <v>102</v>
          </cell>
          <cell r="BJ21">
            <v>303</v>
          </cell>
          <cell r="BK21">
            <v>284</v>
          </cell>
          <cell r="BL21">
            <v>0</v>
          </cell>
          <cell r="BM21">
            <v>7</v>
          </cell>
          <cell r="BN21">
            <v>530</v>
          </cell>
          <cell r="BO21">
            <v>0</v>
          </cell>
          <cell r="BP21">
            <v>259</v>
          </cell>
          <cell r="BQ21">
            <v>3</v>
          </cell>
          <cell r="BR21">
            <v>0</v>
          </cell>
          <cell r="BS21">
            <v>386</v>
          </cell>
          <cell r="BT21">
            <v>8</v>
          </cell>
          <cell r="BU21">
            <v>607</v>
          </cell>
          <cell r="BV21" t="str">
            <v>0</v>
          </cell>
          <cell r="BW21">
            <v>0</v>
          </cell>
          <cell r="BX21">
            <v>0</v>
          </cell>
          <cell r="BY21" t="e">
            <v>#N/A</v>
          </cell>
          <cell r="BZ21">
            <v>0</v>
          </cell>
          <cell r="CA21">
            <v>81</v>
          </cell>
          <cell r="CB21">
            <v>0</v>
          </cell>
          <cell r="CC21">
            <v>48</v>
          </cell>
        </row>
        <row r="22">
          <cell r="A22" t="str">
            <v>Service area population</v>
          </cell>
          <cell r="B22" t="str">
            <v>POP</v>
          </cell>
          <cell r="C22">
            <v>2011</v>
          </cell>
          <cell r="D22">
            <v>16789</v>
          </cell>
          <cell r="E22">
            <v>3000</v>
          </cell>
          <cell r="F22">
            <v>82368</v>
          </cell>
          <cell r="G22">
            <v>25000</v>
          </cell>
          <cell r="H22">
            <v>95960</v>
          </cell>
          <cell r="I22">
            <v>175779</v>
          </cell>
          <cell r="J22">
            <v>139500</v>
          </cell>
          <cell r="K22">
            <v>27698</v>
          </cell>
          <cell r="L22">
            <v>21640</v>
          </cell>
          <cell r="M22">
            <v>2428</v>
          </cell>
          <cell r="N22">
            <v>94769</v>
          </cell>
          <cell r="O22" t="e">
            <v>#N/A</v>
          </cell>
          <cell r="P22">
            <v>27000</v>
          </cell>
          <cell r="Q22">
            <v>4000</v>
          </cell>
          <cell r="R22">
            <v>21873</v>
          </cell>
          <cell r="S22">
            <v>738000</v>
          </cell>
          <cell r="T22">
            <v>215718</v>
          </cell>
          <cell r="U22">
            <v>39042</v>
          </cell>
          <cell r="V22">
            <v>7138</v>
          </cell>
          <cell r="W22">
            <v>73654</v>
          </cell>
          <cell r="X22">
            <v>44186</v>
          </cell>
          <cell r="Y22">
            <v>7952</v>
          </cell>
          <cell r="Z22">
            <v>112234</v>
          </cell>
          <cell r="AA22">
            <v>25325</v>
          </cell>
          <cell r="AB22">
            <v>136466</v>
          </cell>
          <cell r="AC22">
            <v>45212</v>
          </cell>
          <cell r="AD22">
            <v>59008</v>
          </cell>
          <cell r="AE22">
            <v>5620</v>
          </cell>
          <cell r="AF22">
            <v>575673</v>
          </cell>
          <cell r="AG22">
            <v>2650</v>
          </cell>
          <cell r="AH22">
            <v>10500</v>
          </cell>
          <cell r="AI22">
            <v>523911</v>
          </cell>
          <cell r="AJ22">
            <v>3029722</v>
          </cell>
          <cell r="AK22">
            <v>834406</v>
          </cell>
          <cell r="AL22">
            <v>34000</v>
          </cell>
          <cell r="AM22">
            <v>12000</v>
          </cell>
          <cell r="AN22">
            <v>58000</v>
          </cell>
          <cell r="AO22">
            <v>243445</v>
          </cell>
          <cell r="AP22">
            <v>22000</v>
          </cell>
          <cell r="AQ22">
            <v>22641</v>
          </cell>
          <cell r="AR22">
            <v>366151</v>
          </cell>
          <cell r="AS22">
            <v>7831</v>
          </cell>
          <cell r="AT22">
            <v>15572</v>
          </cell>
          <cell r="AU22">
            <v>94500</v>
          </cell>
          <cell r="AV22">
            <v>91547</v>
          </cell>
          <cell r="AW22">
            <v>140017</v>
          </cell>
          <cell r="AX22">
            <v>15000</v>
          </cell>
          <cell r="AY22">
            <v>31500</v>
          </cell>
          <cell r="AZ22">
            <v>55000</v>
          </cell>
          <cell r="BA22">
            <v>14000</v>
          </cell>
          <cell r="BB22">
            <v>183700</v>
          </cell>
          <cell r="BC22">
            <v>29575</v>
          </cell>
          <cell r="BD22">
            <v>31586</v>
          </cell>
          <cell r="BE22">
            <v>155000</v>
          </cell>
          <cell r="BF22">
            <v>20200</v>
          </cell>
          <cell r="BG22">
            <v>6500</v>
          </cell>
          <cell r="BH22">
            <v>83173</v>
          </cell>
          <cell r="BI22">
            <v>18003</v>
          </cell>
          <cell r="BJ22">
            <v>1026559</v>
          </cell>
          <cell r="BK22">
            <v>78000</v>
          </cell>
          <cell r="BL22">
            <v>7846</v>
          </cell>
          <cell r="BM22">
            <v>9900</v>
          </cell>
          <cell r="BN22">
            <v>5336</v>
          </cell>
          <cell r="BO22">
            <v>36110</v>
          </cell>
          <cell r="BP22">
            <v>109219</v>
          </cell>
          <cell r="BQ22">
            <v>15140</v>
          </cell>
          <cell r="BR22">
            <v>2503281</v>
          </cell>
          <cell r="BS22">
            <v>316309</v>
          </cell>
          <cell r="BT22">
            <v>17300</v>
          </cell>
          <cell r="BU22">
            <v>160278</v>
          </cell>
          <cell r="BV22">
            <v>50331</v>
          </cell>
          <cell r="BW22">
            <v>7200</v>
          </cell>
          <cell r="BX22">
            <v>7521</v>
          </cell>
          <cell r="BY22" t="e">
            <v>#N/A</v>
          </cell>
          <cell r="BZ22">
            <v>43225</v>
          </cell>
          <cell r="CA22">
            <v>125900</v>
          </cell>
          <cell r="CB22">
            <v>36000</v>
          </cell>
          <cell r="CC22">
            <v>6700</v>
          </cell>
        </row>
        <row r="23">
          <cell r="A23" t="str">
            <v>Municipal population</v>
          </cell>
          <cell r="B23" t="str">
            <v>POPCITY</v>
          </cell>
          <cell r="C23">
            <v>2011</v>
          </cell>
          <cell r="D23">
            <v>10552</v>
          </cell>
          <cell r="E23">
            <v>3000</v>
          </cell>
          <cell r="F23">
            <v>126199</v>
          </cell>
          <cell r="G23">
            <v>30000</v>
          </cell>
          <cell r="H23">
            <v>95960</v>
          </cell>
          <cell r="I23">
            <v>175779</v>
          </cell>
          <cell r="J23">
            <v>139500</v>
          </cell>
          <cell r="K23">
            <v>27698</v>
          </cell>
          <cell r="L23">
            <v>28530</v>
          </cell>
          <cell r="M23">
            <v>2428</v>
          </cell>
          <cell r="N23">
            <v>107615</v>
          </cell>
          <cell r="O23" t="e">
            <v>#N/A</v>
          </cell>
          <cell r="P23">
            <v>27000</v>
          </cell>
          <cell r="Q23">
            <v>12500</v>
          </cell>
          <cell r="R23">
            <v>74185</v>
          </cell>
          <cell r="S23">
            <v>738000</v>
          </cell>
          <cell r="T23">
            <v>216473</v>
          </cell>
          <cell r="U23">
            <v>37346</v>
          </cell>
          <cell r="V23">
            <v>8700</v>
          </cell>
          <cell r="W23">
            <v>105663</v>
          </cell>
          <cell r="X23">
            <v>44186</v>
          </cell>
          <cell r="Y23">
            <v>7952</v>
          </cell>
          <cell r="Z23">
            <v>174423</v>
          </cell>
          <cell r="AA23">
            <v>25325</v>
          </cell>
          <cell r="AB23">
            <v>136466</v>
          </cell>
          <cell r="AC23">
            <v>45212</v>
          </cell>
          <cell r="AD23">
            <v>59008</v>
          </cell>
          <cell r="AE23">
            <v>5620</v>
          </cell>
          <cell r="AF23">
            <v>670580</v>
          </cell>
          <cell r="AG23">
            <v>9500</v>
          </cell>
          <cell r="AH23">
            <v>10500</v>
          </cell>
          <cell r="AI23">
            <v>523911</v>
          </cell>
          <cell r="AJ23">
            <v>3029722</v>
          </cell>
          <cell r="AK23">
            <v>927118</v>
          </cell>
          <cell r="AL23">
            <v>34000</v>
          </cell>
          <cell r="AM23">
            <v>16500</v>
          </cell>
          <cell r="AN23">
            <v>123363</v>
          </cell>
          <cell r="AO23">
            <v>551300</v>
          </cell>
          <cell r="AP23">
            <v>22000</v>
          </cell>
          <cell r="AQ23">
            <v>36682</v>
          </cell>
          <cell r="AR23">
            <v>366151</v>
          </cell>
          <cell r="AS23">
            <v>21749</v>
          </cell>
          <cell r="AT23">
            <v>16572</v>
          </cell>
          <cell r="AU23">
            <v>94500</v>
          </cell>
          <cell r="AV23">
            <v>137369</v>
          </cell>
          <cell r="AW23">
            <v>140946</v>
          </cell>
          <cell r="AX23">
            <v>15000</v>
          </cell>
          <cell r="AY23">
            <v>63000</v>
          </cell>
          <cell r="AZ23">
            <v>55000</v>
          </cell>
          <cell r="BA23">
            <v>18777</v>
          </cell>
          <cell r="BB23">
            <v>183700</v>
          </cell>
          <cell r="BC23">
            <v>31031</v>
          </cell>
          <cell r="BD23">
            <v>31586</v>
          </cell>
          <cell r="BE23">
            <v>155000</v>
          </cell>
          <cell r="BF23">
            <v>20200</v>
          </cell>
          <cell r="BG23">
            <v>6500</v>
          </cell>
          <cell r="BH23">
            <v>83173</v>
          </cell>
          <cell r="BI23">
            <v>18003</v>
          </cell>
          <cell r="BJ23">
            <v>1026559</v>
          </cell>
          <cell r="BK23">
            <v>75000</v>
          </cell>
          <cell r="BL23">
            <v>7846</v>
          </cell>
          <cell r="BM23">
            <v>16700</v>
          </cell>
          <cell r="BN23">
            <v>5336</v>
          </cell>
          <cell r="BO23">
            <v>36110</v>
          </cell>
          <cell r="BP23">
            <v>108359</v>
          </cell>
          <cell r="BQ23">
            <v>15000</v>
          </cell>
          <cell r="BR23">
            <v>2503281</v>
          </cell>
          <cell r="BS23">
            <v>413710</v>
          </cell>
          <cell r="BT23">
            <v>17300</v>
          </cell>
          <cell r="BU23">
            <v>160278</v>
          </cell>
          <cell r="BV23">
            <v>50331</v>
          </cell>
          <cell r="BW23">
            <v>11500</v>
          </cell>
          <cell r="BX23" t="str">
            <v>0</v>
          </cell>
          <cell r="BY23" t="e">
            <v>#N/A</v>
          </cell>
          <cell r="BZ23">
            <v>78736</v>
          </cell>
          <cell r="CA23">
            <v>125900</v>
          </cell>
          <cell r="CB23">
            <v>37754</v>
          </cell>
          <cell r="CC23">
            <v>5000</v>
          </cell>
        </row>
        <row r="24">
          <cell r="A24" t="str">
            <v>No seasonal occupacy customers</v>
          </cell>
          <cell r="B24" t="str">
            <v>YNSUM</v>
          </cell>
          <cell r="C24">
            <v>2011</v>
          </cell>
          <cell r="D24">
            <v>3565</v>
          </cell>
          <cell r="E24">
            <v>0</v>
          </cell>
          <cell r="F24">
            <v>0</v>
          </cell>
          <cell r="G24">
            <v>0</v>
          </cell>
          <cell r="H24">
            <v>0</v>
          </cell>
          <cell r="I24">
            <v>0</v>
          </cell>
          <cell r="J24">
            <v>0</v>
          </cell>
          <cell r="K24">
            <v>0</v>
          </cell>
          <cell r="L24">
            <v>0</v>
          </cell>
          <cell r="M24">
            <v>3</v>
          </cell>
          <cell r="N24">
            <v>0</v>
          </cell>
          <cell r="O24" t="e">
            <v>#N/A</v>
          </cell>
          <cell r="P24" t="str">
            <v>0</v>
          </cell>
          <cell r="Q24">
            <v>0</v>
          </cell>
          <cell r="R24">
            <v>1</v>
          </cell>
          <cell r="S24" t="str">
            <v>0</v>
          </cell>
          <cell r="T24" t="str">
            <v>0</v>
          </cell>
          <cell r="U24">
            <v>235</v>
          </cell>
          <cell r="V24">
            <v>65</v>
          </cell>
          <cell r="W24">
            <v>0</v>
          </cell>
          <cell r="X24">
            <v>0</v>
          </cell>
          <cell r="Y24">
            <v>0</v>
          </cell>
          <cell r="Z24">
            <v>0</v>
          </cell>
          <cell r="AA24">
            <v>0</v>
          </cell>
          <cell r="AB24">
            <v>0</v>
          </cell>
          <cell r="AC24">
            <v>0</v>
          </cell>
          <cell r="AD24">
            <v>0</v>
          </cell>
          <cell r="AE24" t="str">
            <v>0</v>
          </cell>
          <cell r="AF24">
            <v>0</v>
          </cell>
          <cell r="AG24">
            <v>0</v>
          </cell>
          <cell r="AH24">
            <v>0</v>
          </cell>
          <cell r="AI24">
            <v>0</v>
          </cell>
          <cell r="AJ24">
            <v>154799</v>
          </cell>
          <cell r="AK24">
            <v>0</v>
          </cell>
          <cell r="AL24">
            <v>500</v>
          </cell>
          <cell r="AM24">
            <v>0</v>
          </cell>
          <cell r="AN24">
            <v>0</v>
          </cell>
          <cell r="AO24">
            <v>0</v>
          </cell>
          <cell r="AP24">
            <v>0</v>
          </cell>
          <cell r="AQ24">
            <v>192</v>
          </cell>
          <cell r="AR24" t="str">
            <v>0</v>
          </cell>
          <cell r="AS24">
            <v>0</v>
          </cell>
          <cell r="AT24">
            <v>0</v>
          </cell>
          <cell r="AU24">
            <v>0</v>
          </cell>
          <cell r="AV24">
            <v>525</v>
          </cell>
          <cell r="AW24">
            <v>0</v>
          </cell>
          <cell r="AX24">
            <v>250</v>
          </cell>
          <cell r="AY24">
            <v>200</v>
          </cell>
          <cell r="AZ24">
            <v>0</v>
          </cell>
          <cell r="BA24" t="str">
            <v>0</v>
          </cell>
          <cell r="BB24" t="str">
            <v>0</v>
          </cell>
          <cell r="BC24" t="str">
            <v>0</v>
          </cell>
          <cell r="BD24" t="str">
            <v>0</v>
          </cell>
          <cell r="BE24" t="str">
            <v>0</v>
          </cell>
          <cell r="BF24">
            <v>0</v>
          </cell>
          <cell r="BG24" t="str">
            <v>0</v>
          </cell>
          <cell r="BH24">
            <v>0</v>
          </cell>
          <cell r="BI24">
            <v>0</v>
          </cell>
          <cell r="BJ24">
            <v>0</v>
          </cell>
          <cell r="BK24">
            <v>100</v>
          </cell>
          <cell r="BL24" t="str">
            <v>0</v>
          </cell>
          <cell r="BM24">
            <v>0</v>
          </cell>
          <cell r="BN24">
            <v>108</v>
          </cell>
          <cell r="BO24">
            <v>0</v>
          </cell>
          <cell r="BP24">
            <v>0</v>
          </cell>
          <cell r="BQ24">
            <v>0</v>
          </cell>
          <cell r="BR24">
            <v>0</v>
          </cell>
          <cell r="BS24">
            <v>1589</v>
          </cell>
          <cell r="BT24">
            <v>1000</v>
          </cell>
          <cell r="BU24">
            <v>0</v>
          </cell>
          <cell r="BV24" t="str">
            <v>0</v>
          </cell>
          <cell r="BW24">
            <v>0</v>
          </cell>
          <cell r="BX24" t="str">
            <v>0</v>
          </cell>
          <cell r="BY24" t="e">
            <v>#N/A</v>
          </cell>
          <cell r="BZ24" t="str">
            <v>0</v>
          </cell>
          <cell r="CA24">
            <v>0</v>
          </cell>
          <cell r="CB24">
            <v>0</v>
          </cell>
          <cell r="CC24">
            <v>200</v>
          </cell>
        </row>
        <row r="25">
          <cell r="A25" t="str">
            <v>Utility winter max peak load</v>
          </cell>
          <cell r="B25" t="str">
            <v>PEAKW</v>
          </cell>
          <cell r="C25">
            <v>2011</v>
          </cell>
          <cell r="D25">
            <v>42342</v>
          </cell>
          <cell r="E25">
            <v>4503</v>
          </cell>
          <cell r="F25">
            <v>140212</v>
          </cell>
          <cell r="G25">
            <v>47834</v>
          </cell>
          <cell r="H25">
            <v>150179</v>
          </cell>
          <cell r="I25">
            <v>269328</v>
          </cell>
          <cell r="J25">
            <v>235762</v>
          </cell>
          <cell r="K25">
            <v>45700</v>
          </cell>
          <cell r="L25">
            <v>26436</v>
          </cell>
          <cell r="M25">
            <v>6676</v>
          </cell>
          <cell r="N25">
            <v>104348</v>
          </cell>
          <cell r="O25" t="e">
            <v>#N/A</v>
          </cell>
          <cell r="P25">
            <v>58755</v>
          </cell>
          <cell r="Q25">
            <v>6744</v>
          </cell>
          <cell r="R25">
            <v>41770</v>
          </cell>
          <cell r="S25">
            <v>1170459</v>
          </cell>
          <cell r="T25">
            <v>366400</v>
          </cell>
          <cell r="U25">
            <v>74900</v>
          </cell>
          <cell r="V25">
            <v>13753</v>
          </cell>
          <cell r="W25">
            <v>82710</v>
          </cell>
          <cell r="X25">
            <v>94031</v>
          </cell>
          <cell r="Y25">
            <v>16925</v>
          </cell>
          <cell r="Z25">
            <v>196115</v>
          </cell>
          <cell r="AA25">
            <v>29983</v>
          </cell>
          <cell r="AB25">
            <v>253600</v>
          </cell>
          <cell r="AC25">
            <v>81845</v>
          </cell>
          <cell r="AD25">
            <v>84038</v>
          </cell>
          <cell r="AE25">
            <v>16328</v>
          </cell>
          <cell r="AF25">
            <v>819019</v>
          </cell>
          <cell r="AG25">
            <v>6368</v>
          </cell>
          <cell r="AH25">
            <v>31966</v>
          </cell>
          <cell r="AI25">
            <v>595700</v>
          </cell>
          <cell r="AJ25">
            <v>3923771</v>
          </cell>
          <cell r="AK25">
            <v>1305498</v>
          </cell>
          <cell r="AL25">
            <v>49220</v>
          </cell>
          <cell r="AM25">
            <v>20492</v>
          </cell>
          <cell r="AN25">
            <v>136597</v>
          </cell>
          <cell r="AO25">
            <v>309627</v>
          </cell>
          <cell r="AP25">
            <v>44452</v>
          </cell>
          <cell r="AQ25">
            <v>41419</v>
          </cell>
          <cell r="AR25">
            <v>531481</v>
          </cell>
          <cell r="AS25">
            <v>32939</v>
          </cell>
          <cell r="AT25">
            <v>35345</v>
          </cell>
          <cell r="AU25">
            <v>118892</v>
          </cell>
          <cell r="AV25">
            <v>116122</v>
          </cell>
          <cell r="AW25">
            <v>191328</v>
          </cell>
          <cell r="AX25">
            <v>28568</v>
          </cell>
          <cell r="AY25">
            <v>61767</v>
          </cell>
          <cell r="AZ25">
            <v>113732</v>
          </cell>
          <cell r="BA25">
            <v>22918</v>
          </cell>
          <cell r="BB25">
            <v>239300</v>
          </cell>
          <cell r="BC25">
            <v>42505</v>
          </cell>
          <cell r="BD25">
            <v>59312</v>
          </cell>
          <cell r="BE25">
            <v>205860</v>
          </cell>
          <cell r="BF25">
            <v>37173</v>
          </cell>
          <cell r="BG25">
            <v>19700</v>
          </cell>
          <cell r="BH25">
            <v>153393</v>
          </cell>
          <cell r="BI25">
            <v>34773</v>
          </cell>
          <cell r="BJ25">
            <v>1350678</v>
          </cell>
          <cell r="BK25">
            <v>149857</v>
          </cell>
          <cell r="BL25">
            <v>10822</v>
          </cell>
          <cell r="BM25">
            <v>26579</v>
          </cell>
          <cell r="BN25">
            <v>18704</v>
          </cell>
          <cell r="BO25">
            <v>47750</v>
          </cell>
          <cell r="BP25">
            <v>171304</v>
          </cell>
          <cell r="BQ25">
            <v>29488</v>
          </cell>
          <cell r="BR25">
            <v>4060630</v>
          </cell>
          <cell r="BS25">
            <v>433549</v>
          </cell>
          <cell r="BT25">
            <v>24245</v>
          </cell>
          <cell r="BU25">
            <v>240964</v>
          </cell>
          <cell r="BV25">
            <v>75412</v>
          </cell>
          <cell r="BW25">
            <v>17539</v>
          </cell>
          <cell r="BX25">
            <v>26222</v>
          </cell>
          <cell r="BY25" t="e">
            <v>#N/A</v>
          </cell>
          <cell r="BZ25">
            <v>86667</v>
          </cell>
          <cell r="CA25">
            <v>149997</v>
          </cell>
          <cell r="CB25">
            <v>61443</v>
          </cell>
          <cell r="CC25">
            <v>12946</v>
          </cell>
        </row>
        <row r="26">
          <cell r="A26" t="str">
            <v>Utility summer max peak load</v>
          </cell>
          <cell r="B26" t="str">
            <v>PEAKS</v>
          </cell>
          <cell r="C26">
            <v>2011</v>
          </cell>
          <cell r="D26">
            <v>29018</v>
          </cell>
          <cell r="E26">
            <v>3226</v>
          </cell>
          <cell r="F26">
            <v>187658</v>
          </cell>
          <cell r="G26">
            <v>57677</v>
          </cell>
          <cell r="H26">
            <v>192538</v>
          </cell>
          <cell r="I26">
            <v>379690</v>
          </cell>
          <cell r="J26">
            <v>309690</v>
          </cell>
          <cell r="K26">
            <v>55600</v>
          </cell>
          <cell r="L26">
            <v>28006</v>
          </cell>
          <cell r="M26">
            <v>4532</v>
          </cell>
          <cell r="N26">
            <v>134861</v>
          </cell>
          <cell r="O26" t="e">
            <v>#N/A</v>
          </cell>
          <cell r="P26">
            <v>50957</v>
          </cell>
          <cell r="Q26">
            <v>6573</v>
          </cell>
          <cell r="R26">
            <v>64272</v>
          </cell>
          <cell r="S26">
            <v>1606494</v>
          </cell>
          <cell r="T26">
            <v>550900</v>
          </cell>
          <cell r="U26">
            <v>92146</v>
          </cell>
          <cell r="V26">
            <v>9299</v>
          </cell>
          <cell r="W26">
            <v>125478</v>
          </cell>
          <cell r="X26">
            <v>107415</v>
          </cell>
          <cell r="Y26">
            <v>13707</v>
          </cell>
          <cell r="Z26">
            <v>155517</v>
          </cell>
          <cell r="AA26">
            <v>44698</v>
          </cell>
          <cell r="AB26">
            <v>297500</v>
          </cell>
          <cell r="AC26">
            <v>100582</v>
          </cell>
          <cell r="AD26">
            <v>110391</v>
          </cell>
          <cell r="AE26">
            <v>11855</v>
          </cell>
          <cell r="AF26">
            <v>1092560</v>
          </cell>
          <cell r="AG26">
            <v>3940</v>
          </cell>
          <cell r="AH26">
            <v>30227</v>
          </cell>
          <cell r="AI26">
            <v>820000</v>
          </cell>
          <cell r="AJ26">
            <v>3395487</v>
          </cell>
          <cell r="AK26">
            <v>1501701</v>
          </cell>
          <cell r="AL26">
            <v>48959</v>
          </cell>
          <cell r="AM26">
            <v>18511</v>
          </cell>
          <cell r="AN26">
            <v>109026</v>
          </cell>
          <cell r="AO26">
            <v>377020</v>
          </cell>
          <cell r="AP26">
            <v>44011</v>
          </cell>
          <cell r="AQ26">
            <v>34472</v>
          </cell>
          <cell r="AR26">
            <v>717155</v>
          </cell>
          <cell r="AS26">
            <v>38524</v>
          </cell>
          <cell r="AT26">
            <v>37873</v>
          </cell>
          <cell r="AU26">
            <v>161635</v>
          </cell>
          <cell r="AV26">
            <v>156479</v>
          </cell>
          <cell r="AW26">
            <v>269269</v>
          </cell>
          <cell r="AX26">
            <v>45651</v>
          </cell>
          <cell r="AY26">
            <v>80766</v>
          </cell>
          <cell r="AZ26">
            <v>92484</v>
          </cell>
          <cell r="BA26">
            <v>20631</v>
          </cell>
          <cell r="BB26">
            <v>380100</v>
          </cell>
          <cell r="BC26">
            <v>47996</v>
          </cell>
          <cell r="BD26">
            <v>57089</v>
          </cell>
          <cell r="BE26">
            <v>234849</v>
          </cell>
          <cell r="BF26">
            <v>33019</v>
          </cell>
          <cell r="BG26">
            <v>13168</v>
          </cell>
          <cell r="BH26">
            <v>161697</v>
          </cell>
          <cell r="BI26">
            <v>42478</v>
          </cell>
          <cell r="BJ26">
            <v>1961144</v>
          </cell>
          <cell r="BK26">
            <v>95135</v>
          </cell>
          <cell r="BL26">
            <v>18295</v>
          </cell>
          <cell r="BM26">
            <v>32356</v>
          </cell>
          <cell r="BN26">
            <v>10767</v>
          </cell>
          <cell r="BO26">
            <v>65534</v>
          </cell>
          <cell r="BP26">
            <v>154665</v>
          </cell>
          <cell r="BQ26">
            <v>37105</v>
          </cell>
          <cell r="BR26">
            <v>4919150</v>
          </cell>
          <cell r="BS26">
            <v>526513</v>
          </cell>
          <cell r="BT26">
            <v>28946</v>
          </cell>
          <cell r="BU26">
            <v>294349</v>
          </cell>
          <cell r="BV26">
            <v>98478</v>
          </cell>
          <cell r="BW26">
            <v>16621</v>
          </cell>
          <cell r="BX26">
            <v>27350</v>
          </cell>
          <cell r="BY26" t="e">
            <v>#N/A</v>
          </cell>
          <cell r="BZ26">
            <v>73789</v>
          </cell>
          <cell r="CA26">
            <v>208479</v>
          </cell>
          <cell r="CB26">
            <v>76830</v>
          </cell>
          <cell r="CC26">
            <v>11856</v>
          </cell>
        </row>
        <row r="27">
          <cell r="A27" t="str">
            <v>Utility average peak load</v>
          </cell>
          <cell r="B27" t="str">
            <v>PEAKA</v>
          </cell>
          <cell r="C27">
            <v>2011</v>
          </cell>
          <cell r="D27">
            <v>30706</v>
          </cell>
          <cell r="E27">
            <v>3614</v>
          </cell>
          <cell r="F27">
            <v>163935</v>
          </cell>
          <cell r="G27">
            <v>46298</v>
          </cell>
          <cell r="H27">
            <v>153392</v>
          </cell>
          <cell r="I27">
            <v>280106</v>
          </cell>
          <cell r="J27">
            <v>246578</v>
          </cell>
          <cell r="K27">
            <v>45067</v>
          </cell>
          <cell r="L27">
            <v>24928</v>
          </cell>
          <cell r="M27">
            <v>4374</v>
          </cell>
          <cell r="N27">
            <v>119604</v>
          </cell>
          <cell r="O27" t="e">
            <v>#N/A</v>
          </cell>
          <cell r="P27">
            <v>49878</v>
          </cell>
          <cell r="Q27">
            <v>5618</v>
          </cell>
          <cell r="R27">
            <v>45507</v>
          </cell>
          <cell r="S27">
            <v>1215861</v>
          </cell>
          <cell r="T27">
            <v>411675</v>
          </cell>
          <cell r="U27">
            <v>72336</v>
          </cell>
          <cell r="V27">
            <v>10175</v>
          </cell>
          <cell r="W27">
            <v>91444</v>
          </cell>
          <cell r="X27">
            <v>93454</v>
          </cell>
          <cell r="Y27">
            <v>13177</v>
          </cell>
          <cell r="Z27">
            <v>151771</v>
          </cell>
          <cell r="AA27">
            <v>31728</v>
          </cell>
          <cell r="AB27">
            <v>254900</v>
          </cell>
          <cell r="AC27">
            <v>80013</v>
          </cell>
          <cell r="AD27">
            <v>84825</v>
          </cell>
          <cell r="AE27">
            <v>14023</v>
          </cell>
          <cell r="AF27">
            <v>845981</v>
          </cell>
          <cell r="AG27">
            <v>4179</v>
          </cell>
          <cell r="AH27">
            <v>26301</v>
          </cell>
          <cell r="AI27">
            <v>626200</v>
          </cell>
          <cell r="AJ27">
            <v>3089825</v>
          </cell>
          <cell r="AK27">
            <v>1203408</v>
          </cell>
          <cell r="AL27">
            <v>41923</v>
          </cell>
          <cell r="AM27">
            <v>17242</v>
          </cell>
          <cell r="AN27">
            <v>111249</v>
          </cell>
          <cell r="AO27">
            <v>301899</v>
          </cell>
          <cell r="AP27">
            <v>40058</v>
          </cell>
          <cell r="AQ27">
            <v>34529</v>
          </cell>
          <cell r="AR27">
            <v>540982</v>
          </cell>
          <cell r="AS27">
            <v>35731</v>
          </cell>
          <cell r="AT27">
            <v>33363</v>
          </cell>
          <cell r="AU27">
            <v>125053</v>
          </cell>
          <cell r="AV27">
            <v>117903</v>
          </cell>
          <cell r="AW27">
            <v>199310</v>
          </cell>
          <cell r="AX27">
            <v>31132</v>
          </cell>
          <cell r="AY27">
            <v>62240</v>
          </cell>
          <cell r="AZ27">
            <v>89858</v>
          </cell>
          <cell r="BA27">
            <v>18797</v>
          </cell>
          <cell r="BB27">
            <v>251564</v>
          </cell>
          <cell r="BC27">
            <v>40755</v>
          </cell>
          <cell r="BD27">
            <v>50680</v>
          </cell>
          <cell r="BE27">
            <v>130273</v>
          </cell>
          <cell r="BF27">
            <v>27564</v>
          </cell>
          <cell r="BG27">
            <v>13845</v>
          </cell>
          <cell r="BH27">
            <v>135588</v>
          </cell>
          <cell r="BI27">
            <v>35494</v>
          </cell>
          <cell r="BJ27">
            <v>1434223</v>
          </cell>
          <cell r="BK27">
            <v>109109</v>
          </cell>
          <cell r="BL27">
            <v>15304</v>
          </cell>
          <cell r="BM27">
            <v>20617</v>
          </cell>
          <cell r="BN27">
            <v>12177</v>
          </cell>
          <cell r="BO27">
            <v>50164</v>
          </cell>
          <cell r="BP27">
            <v>149558</v>
          </cell>
          <cell r="BQ27">
            <v>30734</v>
          </cell>
          <cell r="BR27">
            <v>3914700</v>
          </cell>
          <cell r="BS27">
            <v>412902</v>
          </cell>
          <cell r="BT27">
            <v>21915</v>
          </cell>
          <cell r="BU27">
            <v>238844</v>
          </cell>
          <cell r="BV27">
            <v>76704</v>
          </cell>
          <cell r="BW27">
            <v>16373</v>
          </cell>
          <cell r="BX27">
            <v>24737</v>
          </cell>
          <cell r="BY27" t="e">
            <v>#N/A</v>
          </cell>
          <cell r="BZ27">
            <v>72617</v>
          </cell>
          <cell r="CA27">
            <v>151006</v>
          </cell>
          <cell r="CB27">
            <v>61185</v>
          </cell>
          <cell r="CC27">
            <v>10383</v>
          </cell>
        </row>
        <row r="28">
          <cell r="A28" t="str">
            <v>Total circuit kms of line</v>
          </cell>
          <cell r="B28" t="str">
            <v>KMC</v>
          </cell>
          <cell r="C28">
            <v>2011</v>
          </cell>
          <cell r="D28">
            <v>1848</v>
          </cell>
          <cell r="E28">
            <v>92</v>
          </cell>
          <cell r="F28">
            <v>777</v>
          </cell>
          <cell r="G28">
            <v>332</v>
          </cell>
          <cell r="H28">
            <v>649</v>
          </cell>
          <cell r="I28">
            <v>1703</v>
          </cell>
          <cell r="J28">
            <v>1119</v>
          </cell>
          <cell r="K28">
            <v>526</v>
          </cell>
          <cell r="L28">
            <v>161</v>
          </cell>
          <cell r="M28">
            <v>27</v>
          </cell>
          <cell r="N28">
            <v>811</v>
          </cell>
          <cell r="O28" t="e">
            <v>#N/A</v>
          </cell>
          <cell r="P28">
            <v>339</v>
          </cell>
          <cell r="Q28">
            <v>27</v>
          </cell>
          <cell r="R28">
            <v>150</v>
          </cell>
          <cell r="S28">
            <v>5163</v>
          </cell>
          <cell r="T28">
            <v>1176</v>
          </cell>
          <cell r="U28">
            <v>327</v>
          </cell>
          <cell r="V28">
            <v>137</v>
          </cell>
          <cell r="W28">
            <v>465</v>
          </cell>
          <cell r="X28">
            <v>277</v>
          </cell>
          <cell r="Y28">
            <v>74</v>
          </cell>
          <cell r="Z28">
            <v>962</v>
          </cell>
          <cell r="AA28">
            <v>240</v>
          </cell>
          <cell r="AB28">
            <v>1084</v>
          </cell>
          <cell r="AC28">
            <v>1734</v>
          </cell>
          <cell r="AD28">
            <v>1464</v>
          </cell>
          <cell r="AE28">
            <v>68</v>
          </cell>
          <cell r="AF28">
            <v>3414</v>
          </cell>
          <cell r="AG28">
            <v>21</v>
          </cell>
          <cell r="AH28">
            <v>66</v>
          </cell>
          <cell r="AI28">
            <v>2896</v>
          </cell>
          <cell r="AJ28">
            <v>117385</v>
          </cell>
          <cell r="AK28">
            <v>5606</v>
          </cell>
          <cell r="AL28">
            <v>748</v>
          </cell>
          <cell r="AM28">
            <v>98</v>
          </cell>
          <cell r="AN28">
            <v>362</v>
          </cell>
          <cell r="AO28">
            <v>1878</v>
          </cell>
          <cell r="AP28">
            <v>115</v>
          </cell>
          <cell r="AQ28">
            <v>333</v>
          </cell>
          <cell r="AR28">
            <v>2820</v>
          </cell>
          <cell r="AS28">
            <v>135</v>
          </cell>
          <cell r="AT28">
            <v>265</v>
          </cell>
          <cell r="AU28">
            <v>950</v>
          </cell>
          <cell r="AV28">
            <v>830</v>
          </cell>
          <cell r="AW28">
            <v>1975</v>
          </cell>
          <cell r="AX28">
            <v>348</v>
          </cell>
          <cell r="AY28">
            <v>770</v>
          </cell>
          <cell r="AZ28">
            <v>618</v>
          </cell>
          <cell r="BA28">
            <v>370</v>
          </cell>
          <cell r="BB28">
            <v>1455</v>
          </cell>
          <cell r="BC28">
            <v>176</v>
          </cell>
          <cell r="BD28">
            <v>314</v>
          </cell>
          <cell r="BE28">
            <v>987</v>
          </cell>
          <cell r="BF28">
            <v>148</v>
          </cell>
          <cell r="BG28">
            <v>129</v>
          </cell>
          <cell r="BH28">
            <v>553</v>
          </cell>
          <cell r="BI28">
            <v>315</v>
          </cell>
          <cell r="BJ28">
            <v>7431</v>
          </cell>
          <cell r="BK28">
            <v>737</v>
          </cell>
          <cell r="BL28">
            <v>55</v>
          </cell>
          <cell r="BM28">
            <v>94</v>
          </cell>
          <cell r="BN28">
            <v>283</v>
          </cell>
          <cell r="BO28">
            <v>248</v>
          </cell>
          <cell r="BP28">
            <v>1186</v>
          </cell>
          <cell r="BQ28">
            <v>157</v>
          </cell>
          <cell r="BR28">
            <v>10061</v>
          </cell>
          <cell r="BS28">
            <v>2409</v>
          </cell>
          <cell r="BT28">
            <v>243</v>
          </cell>
          <cell r="BU28">
            <v>1542</v>
          </cell>
          <cell r="BV28">
            <v>300</v>
          </cell>
          <cell r="BW28">
            <v>76</v>
          </cell>
          <cell r="BX28">
            <v>68</v>
          </cell>
          <cell r="BY28" t="e">
            <v>#N/A</v>
          </cell>
          <cell r="BZ28">
            <v>515</v>
          </cell>
          <cell r="CA28">
            <v>1060</v>
          </cell>
          <cell r="CB28">
            <v>249</v>
          </cell>
          <cell r="CC28">
            <v>181</v>
          </cell>
        </row>
        <row r="29">
          <cell r="A29" t="str">
            <v>Overhead circuit kms of line</v>
          </cell>
          <cell r="B29" t="str">
            <v>KMCO</v>
          </cell>
          <cell r="C29">
            <v>2011</v>
          </cell>
          <cell r="D29">
            <v>1844</v>
          </cell>
          <cell r="E29">
            <v>92</v>
          </cell>
          <cell r="F29">
            <v>581</v>
          </cell>
          <cell r="G29">
            <v>290</v>
          </cell>
          <cell r="H29">
            <v>389</v>
          </cell>
          <cell r="I29">
            <v>963</v>
          </cell>
          <cell r="J29">
            <v>713</v>
          </cell>
          <cell r="K29">
            <v>482</v>
          </cell>
          <cell r="L29">
            <v>91</v>
          </cell>
          <cell r="M29">
            <v>26</v>
          </cell>
          <cell r="N29">
            <v>581</v>
          </cell>
          <cell r="O29" t="e">
            <v>#N/A</v>
          </cell>
          <cell r="P29">
            <v>207</v>
          </cell>
          <cell r="Q29">
            <v>15</v>
          </cell>
          <cell r="R29">
            <v>89</v>
          </cell>
          <cell r="S29">
            <v>1798</v>
          </cell>
          <cell r="T29">
            <v>709</v>
          </cell>
          <cell r="U29">
            <v>254</v>
          </cell>
          <cell r="V29">
            <v>126</v>
          </cell>
          <cell r="W29">
            <v>211</v>
          </cell>
          <cell r="X29">
            <v>185</v>
          </cell>
          <cell r="Y29">
            <v>66</v>
          </cell>
          <cell r="Z29">
            <v>737</v>
          </cell>
          <cell r="AA29">
            <v>170</v>
          </cell>
          <cell r="AB29">
            <v>430</v>
          </cell>
          <cell r="AC29">
            <v>1642</v>
          </cell>
          <cell r="AD29">
            <v>888</v>
          </cell>
          <cell r="AE29">
            <v>57</v>
          </cell>
          <cell r="AF29">
            <v>1523</v>
          </cell>
          <cell r="AG29">
            <v>18</v>
          </cell>
          <cell r="AH29">
            <v>56</v>
          </cell>
          <cell r="AI29">
            <v>802</v>
          </cell>
          <cell r="AJ29">
            <v>109499</v>
          </cell>
          <cell r="AK29">
            <v>2916</v>
          </cell>
          <cell r="AL29">
            <v>607</v>
          </cell>
          <cell r="AM29">
            <v>88</v>
          </cell>
          <cell r="AN29">
            <v>233</v>
          </cell>
          <cell r="AO29">
            <v>1046</v>
          </cell>
          <cell r="AP29">
            <v>95</v>
          </cell>
          <cell r="AQ29">
            <v>257</v>
          </cell>
          <cell r="AR29">
            <v>1363</v>
          </cell>
          <cell r="AS29">
            <v>97</v>
          </cell>
          <cell r="AT29">
            <v>198</v>
          </cell>
          <cell r="AU29">
            <v>567</v>
          </cell>
          <cell r="AV29">
            <v>359</v>
          </cell>
          <cell r="AW29">
            <v>1484</v>
          </cell>
          <cell r="AX29">
            <v>246</v>
          </cell>
          <cell r="AY29">
            <v>656</v>
          </cell>
          <cell r="AZ29">
            <v>510</v>
          </cell>
          <cell r="BA29">
            <v>365</v>
          </cell>
          <cell r="BB29">
            <v>561</v>
          </cell>
          <cell r="BC29">
            <v>103</v>
          </cell>
          <cell r="BD29">
            <v>248</v>
          </cell>
          <cell r="BE29">
            <v>570</v>
          </cell>
          <cell r="BF29">
            <v>129</v>
          </cell>
          <cell r="BG29">
            <v>118</v>
          </cell>
          <cell r="BH29">
            <v>385</v>
          </cell>
          <cell r="BI29">
            <v>298</v>
          </cell>
          <cell r="BJ29">
            <v>2584</v>
          </cell>
          <cell r="BK29">
            <v>617</v>
          </cell>
          <cell r="BL29">
            <v>53</v>
          </cell>
          <cell r="BM29">
            <v>84</v>
          </cell>
          <cell r="BN29">
            <v>277</v>
          </cell>
          <cell r="BO29">
            <v>156</v>
          </cell>
          <cell r="BP29">
            <v>950</v>
          </cell>
          <cell r="BQ29">
            <v>102</v>
          </cell>
          <cell r="BR29">
            <v>4168</v>
          </cell>
          <cell r="BS29">
            <v>1331</v>
          </cell>
          <cell r="BT29">
            <v>127</v>
          </cell>
          <cell r="BU29">
            <v>1051</v>
          </cell>
          <cell r="BV29">
            <v>213</v>
          </cell>
          <cell r="BW29">
            <v>66</v>
          </cell>
          <cell r="BX29">
            <v>53</v>
          </cell>
          <cell r="BY29" t="e">
            <v>#N/A</v>
          </cell>
          <cell r="BZ29">
            <v>371</v>
          </cell>
          <cell r="CA29">
            <v>503</v>
          </cell>
          <cell r="CB29">
            <v>155</v>
          </cell>
          <cell r="CC29">
            <v>171</v>
          </cell>
        </row>
        <row r="30">
          <cell r="A30" t="str">
            <v>Underground circuit kms ofline</v>
          </cell>
          <cell r="B30" t="str">
            <v>KMCU</v>
          </cell>
          <cell r="C30">
            <v>2011</v>
          </cell>
          <cell r="D30">
            <v>4</v>
          </cell>
          <cell r="E30">
            <v>0</v>
          </cell>
          <cell r="F30">
            <v>196</v>
          </cell>
          <cell r="G30">
            <v>42</v>
          </cell>
          <cell r="H30">
            <v>260</v>
          </cell>
          <cell r="I30">
            <v>740</v>
          </cell>
          <cell r="J30">
            <v>406</v>
          </cell>
          <cell r="K30">
            <v>44</v>
          </cell>
          <cell r="L30">
            <v>70</v>
          </cell>
          <cell r="M30">
            <v>1</v>
          </cell>
          <cell r="N30">
            <v>230</v>
          </cell>
          <cell r="O30" t="e">
            <v>#N/A</v>
          </cell>
          <cell r="P30">
            <v>132</v>
          </cell>
          <cell r="Q30">
            <v>12</v>
          </cell>
          <cell r="R30">
            <v>61</v>
          </cell>
          <cell r="S30">
            <v>3365</v>
          </cell>
          <cell r="T30">
            <v>467</v>
          </cell>
          <cell r="U30">
            <v>73</v>
          </cell>
          <cell r="V30">
            <v>11</v>
          </cell>
          <cell r="W30">
            <v>254</v>
          </cell>
          <cell r="X30">
            <v>92</v>
          </cell>
          <cell r="Y30">
            <v>8</v>
          </cell>
          <cell r="Z30">
            <v>225</v>
          </cell>
          <cell r="AA30">
            <v>70</v>
          </cell>
          <cell r="AB30">
            <v>654</v>
          </cell>
          <cell r="AC30">
            <v>92</v>
          </cell>
          <cell r="AD30">
            <v>576</v>
          </cell>
          <cell r="AE30">
            <v>11</v>
          </cell>
          <cell r="AF30">
            <v>1891</v>
          </cell>
          <cell r="AG30">
            <v>3</v>
          </cell>
          <cell r="AH30">
            <v>10</v>
          </cell>
          <cell r="AI30">
            <v>2094</v>
          </cell>
          <cell r="AJ30">
            <v>7886</v>
          </cell>
          <cell r="AK30">
            <v>2690</v>
          </cell>
          <cell r="AL30">
            <v>141</v>
          </cell>
          <cell r="AM30">
            <v>10</v>
          </cell>
          <cell r="AN30">
            <v>129</v>
          </cell>
          <cell r="AO30">
            <v>832</v>
          </cell>
          <cell r="AP30">
            <v>20</v>
          </cell>
          <cell r="AQ30">
            <v>76</v>
          </cell>
          <cell r="AR30">
            <v>1457</v>
          </cell>
          <cell r="AS30">
            <v>38</v>
          </cell>
          <cell r="AT30">
            <v>67</v>
          </cell>
          <cell r="AU30">
            <v>383</v>
          </cell>
          <cell r="AV30">
            <v>471</v>
          </cell>
          <cell r="AW30">
            <v>491</v>
          </cell>
          <cell r="AX30">
            <v>102</v>
          </cell>
          <cell r="AY30">
            <v>114</v>
          </cell>
          <cell r="AZ30">
            <v>108</v>
          </cell>
          <cell r="BA30">
            <v>5</v>
          </cell>
          <cell r="BB30">
            <v>894</v>
          </cell>
          <cell r="BC30">
            <v>73</v>
          </cell>
          <cell r="BD30">
            <v>66</v>
          </cell>
          <cell r="BE30">
            <v>417</v>
          </cell>
          <cell r="BF30">
            <v>19</v>
          </cell>
          <cell r="BG30">
            <v>11</v>
          </cell>
          <cell r="BH30">
            <v>168</v>
          </cell>
          <cell r="BI30">
            <v>17</v>
          </cell>
          <cell r="BJ30">
            <v>4847</v>
          </cell>
          <cell r="BK30">
            <v>120</v>
          </cell>
          <cell r="BL30">
            <v>2</v>
          </cell>
          <cell r="BM30">
            <v>10</v>
          </cell>
          <cell r="BN30">
            <v>6</v>
          </cell>
          <cell r="BO30">
            <v>92</v>
          </cell>
          <cell r="BP30">
            <v>236</v>
          </cell>
          <cell r="BQ30">
            <v>55</v>
          </cell>
          <cell r="BR30">
            <v>5893</v>
          </cell>
          <cell r="BS30">
            <v>1078</v>
          </cell>
          <cell r="BT30">
            <v>116</v>
          </cell>
          <cell r="BU30">
            <v>491</v>
          </cell>
          <cell r="BV30">
            <v>87</v>
          </cell>
          <cell r="BW30">
            <v>10</v>
          </cell>
          <cell r="BX30">
            <v>15</v>
          </cell>
          <cell r="BY30" t="e">
            <v>#N/A</v>
          </cell>
          <cell r="BZ30">
            <v>144</v>
          </cell>
          <cell r="CA30">
            <v>557</v>
          </cell>
          <cell r="CB30">
            <v>94</v>
          </cell>
          <cell r="CC30">
            <v>10</v>
          </cell>
        </row>
        <row r="31">
          <cell r="A31" t="str">
            <v>Circuit kilometers 3 phase</v>
          </cell>
          <cell r="B31" t="str">
            <v>KMC3</v>
          </cell>
          <cell r="C31">
            <v>2011</v>
          </cell>
          <cell r="D31">
            <v>442</v>
          </cell>
          <cell r="E31">
            <v>47</v>
          </cell>
          <cell r="F31">
            <v>423</v>
          </cell>
          <cell r="G31">
            <v>175</v>
          </cell>
          <cell r="H31">
            <v>364</v>
          </cell>
          <cell r="I31">
            <v>856</v>
          </cell>
          <cell r="J31">
            <v>437</v>
          </cell>
          <cell r="K31">
            <v>339</v>
          </cell>
          <cell r="L31">
            <v>83</v>
          </cell>
          <cell r="M31">
            <v>16</v>
          </cell>
          <cell r="N31">
            <v>519</v>
          </cell>
          <cell r="O31" t="e">
            <v>#N/A</v>
          </cell>
          <cell r="P31">
            <v>166</v>
          </cell>
          <cell r="Q31">
            <v>12</v>
          </cell>
          <cell r="R31">
            <v>73</v>
          </cell>
          <cell r="S31">
            <v>3061</v>
          </cell>
          <cell r="T31">
            <v>567</v>
          </cell>
          <cell r="U31">
            <v>174</v>
          </cell>
          <cell r="V31">
            <v>31</v>
          </cell>
          <cell r="W31">
            <v>156</v>
          </cell>
          <cell r="X31">
            <v>148</v>
          </cell>
          <cell r="Y31">
            <v>50</v>
          </cell>
          <cell r="Z31">
            <v>560</v>
          </cell>
          <cell r="AA31">
            <v>103</v>
          </cell>
          <cell r="AB31">
            <v>491</v>
          </cell>
          <cell r="AC31">
            <v>611</v>
          </cell>
          <cell r="AD31">
            <v>402</v>
          </cell>
          <cell r="AE31">
            <v>27</v>
          </cell>
          <cell r="AF31">
            <v>1779</v>
          </cell>
          <cell r="AG31">
            <v>10</v>
          </cell>
          <cell r="AH31">
            <v>42</v>
          </cell>
          <cell r="AI31">
            <v>1227</v>
          </cell>
          <cell r="AJ31">
            <v>43827</v>
          </cell>
          <cell r="AK31">
            <v>3115</v>
          </cell>
          <cell r="AL31">
            <v>350</v>
          </cell>
          <cell r="AM31">
            <v>61</v>
          </cell>
          <cell r="AN31">
            <v>258</v>
          </cell>
          <cell r="AO31">
            <v>798</v>
          </cell>
          <cell r="AP31">
            <v>76</v>
          </cell>
          <cell r="AQ31">
            <v>145</v>
          </cell>
          <cell r="AR31">
            <v>1328</v>
          </cell>
          <cell r="AS31">
            <v>73</v>
          </cell>
          <cell r="AT31">
            <v>225</v>
          </cell>
          <cell r="AU31">
            <v>462</v>
          </cell>
          <cell r="AV31">
            <v>323</v>
          </cell>
          <cell r="AW31">
            <v>881</v>
          </cell>
          <cell r="AX31">
            <v>176</v>
          </cell>
          <cell r="AY31">
            <v>335</v>
          </cell>
          <cell r="AZ31">
            <v>365</v>
          </cell>
          <cell r="BA31">
            <v>200</v>
          </cell>
          <cell r="BB31">
            <v>750</v>
          </cell>
          <cell r="BC31">
            <v>97</v>
          </cell>
          <cell r="BD31">
            <v>226</v>
          </cell>
          <cell r="BE31">
            <v>417</v>
          </cell>
          <cell r="BF31">
            <v>96</v>
          </cell>
          <cell r="BG31">
            <v>84</v>
          </cell>
          <cell r="BH31">
            <v>346</v>
          </cell>
          <cell r="BI31">
            <v>177</v>
          </cell>
          <cell r="BJ31">
            <v>3537</v>
          </cell>
          <cell r="BK31">
            <v>464</v>
          </cell>
          <cell r="BL31">
            <v>34</v>
          </cell>
          <cell r="BM31">
            <v>50</v>
          </cell>
          <cell r="BN31">
            <v>79</v>
          </cell>
          <cell r="BO31">
            <v>139</v>
          </cell>
          <cell r="BP31">
            <v>630</v>
          </cell>
          <cell r="BQ31">
            <v>73</v>
          </cell>
          <cell r="BR31">
            <v>6099</v>
          </cell>
          <cell r="BS31">
            <v>1043</v>
          </cell>
          <cell r="BT31">
            <v>103</v>
          </cell>
          <cell r="BU31">
            <v>701</v>
          </cell>
          <cell r="BV31">
            <v>187</v>
          </cell>
          <cell r="BW31">
            <v>47</v>
          </cell>
          <cell r="BX31">
            <v>46</v>
          </cell>
          <cell r="BY31" t="e">
            <v>#N/A</v>
          </cell>
          <cell r="BZ31">
            <v>307</v>
          </cell>
          <cell r="CA31">
            <v>480</v>
          </cell>
          <cell r="CB31">
            <v>163</v>
          </cell>
          <cell r="CC31">
            <v>107</v>
          </cell>
        </row>
        <row r="32">
          <cell r="A32" t="str">
            <v>Circuit kilometers 2 phase</v>
          </cell>
          <cell r="B32" t="str">
            <v>KMC2</v>
          </cell>
          <cell r="C32">
            <v>2011</v>
          </cell>
          <cell r="D32">
            <v>38</v>
          </cell>
          <cell r="E32">
            <v>0</v>
          </cell>
          <cell r="F32">
            <v>7</v>
          </cell>
          <cell r="G32">
            <v>8</v>
          </cell>
          <cell r="H32">
            <v>0</v>
          </cell>
          <cell r="I32">
            <v>0</v>
          </cell>
          <cell r="J32">
            <v>0</v>
          </cell>
          <cell r="K32">
            <v>58</v>
          </cell>
          <cell r="L32">
            <v>0</v>
          </cell>
          <cell r="M32">
            <v>2</v>
          </cell>
          <cell r="N32">
            <v>0</v>
          </cell>
          <cell r="O32" t="e">
            <v>#N/A</v>
          </cell>
          <cell r="P32">
            <v>4</v>
          </cell>
          <cell r="Q32">
            <v>1</v>
          </cell>
          <cell r="R32">
            <v>2</v>
          </cell>
          <cell r="S32">
            <v>100</v>
          </cell>
          <cell r="T32">
            <v>2</v>
          </cell>
          <cell r="U32">
            <v>3</v>
          </cell>
          <cell r="V32">
            <v>1</v>
          </cell>
          <cell r="W32">
            <v>0</v>
          </cell>
          <cell r="X32">
            <v>6</v>
          </cell>
          <cell r="Y32">
            <v>0</v>
          </cell>
          <cell r="Z32">
            <v>0</v>
          </cell>
          <cell r="AA32">
            <v>0</v>
          </cell>
          <cell r="AB32">
            <v>0</v>
          </cell>
          <cell r="AC32">
            <v>27</v>
          </cell>
          <cell r="AD32">
            <v>0</v>
          </cell>
          <cell r="AE32" t="str">
            <v>0</v>
          </cell>
          <cell r="AF32">
            <v>20</v>
          </cell>
          <cell r="AG32">
            <v>2</v>
          </cell>
          <cell r="AH32">
            <v>0</v>
          </cell>
          <cell r="AI32">
            <v>21</v>
          </cell>
          <cell r="AJ32">
            <v>2290</v>
          </cell>
          <cell r="AK32">
            <v>167</v>
          </cell>
          <cell r="AL32">
            <v>0</v>
          </cell>
          <cell r="AM32" t="str">
            <v>0</v>
          </cell>
          <cell r="AN32">
            <v>0</v>
          </cell>
          <cell r="AO32">
            <v>0</v>
          </cell>
          <cell r="AP32">
            <v>0</v>
          </cell>
          <cell r="AQ32">
            <v>8</v>
          </cell>
          <cell r="AR32" t="str">
            <v>0</v>
          </cell>
          <cell r="AS32">
            <v>0</v>
          </cell>
          <cell r="AT32">
            <v>4</v>
          </cell>
          <cell r="AU32">
            <v>23</v>
          </cell>
          <cell r="AV32" t="str">
            <v>0</v>
          </cell>
          <cell r="AW32">
            <v>2</v>
          </cell>
          <cell r="AX32">
            <v>6</v>
          </cell>
          <cell r="AY32">
            <v>0</v>
          </cell>
          <cell r="AZ32">
            <v>0</v>
          </cell>
          <cell r="BA32" t="str">
            <v>0</v>
          </cell>
          <cell r="BB32" t="str">
            <v>0</v>
          </cell>
          <cell r="BC32">
            <v>0</v>
          </cell>
          <cell r="BD32">
            <v>6</v>
          </cell>
          <cell r="BE32" t="str">
            <v>0</v>
          </cell>
          <cell r="BF32">
            <v>1</v>
          </cell>
          <cell r="BG32" t="str">
            <v>0</v>
          </cell>
          <cell r="BH32">
            <v>7</v>
          </cell>
          <cell r="BI32">
            <v>0</v>
          </cell>
          <cell r="BJ32">
            <v>136</v>
          </cell>
          <cell r="BK32">
            <v>10</v>
          </cell>
          <cell r="BL32">
            <v>1</v>
          </cell>
          <cell r="BM32" t="str">
            <v>0</v>
          </cell>
          <cell r="BN32" t="str">
            <v>0</v>
          </cell>
          <cell r="BO32">
            <v>11</v>
          </cell>
          <cell r="BP32">
            <v>1</v>
          </cell>
          <cell r="BQ32" t="str">
            <v>0</v>
          </cell>
          <cell r="BR32">
            <v>56</v>
          </cell>
          <cell r="BS32">
            <v>18</v>
          </cell>
          <cell r="BT32">
            <v>10</v>
          </cell>
          <cell r="BU32">
            <v>7</v>
          </cell>
          <cell r="BV32" t="str">
            <v>0</v>
          </cell>
          <cell r="BW32">
            <v>0</v>
          </cell>
          <cell r="BX32">
            <v>0</v>
          </cell>
          <cell r="BY32" t="e">
            <v>#N/A</v>
          </cell>
          <cell r="BZ32">
            <v>1</v>
          </cell>
          <cell r="CA32">
            <v>13</v>
          </cell>
          <cell r="CB32">
            <v>4</v>
          </cell>
          <cell r="CC32">
            <v>10</v>
          </cell>
        </row>
        <row r="33">
          <cell r="A33" t="str">
            <v>Circuit kms single phase</v>
          </cell>
          <cell r="B33" t="str">
            <v>KMC1</v>
          </cell>
          <cell r="C33">
            <v>2011</v>
          </cell>
          <cell r="D33">
            <v>1368</v>
          </cell>
          <cell r="E33">
            <v>45</v>
          </cell>
          <cell r="F33">
            <v>347</v>
          </cell>
          <cell r="G33">
            <v>149</v>
          </cell>
          <cell r="H33">
            <v>285</v>
          </cell>
          <cell r="I33">
            <v>847</v>
          </cell>
          <cell r="J33">
            <v>682</v>
          </cell>
          <cell r="K33">
            <v>129</v>
          </cell>
          <cell r="L33">
            <v>78</v>
          </cell>
          <cell r="M33">
            <v>9</v>
          </cell>
          <cell r="N33">
            <v>292</v>
          </cell>
          <cell r="O33" t="e">
            <v>#N/A</v>
          </cell>
          <cell r="P33">
            <v>169</v>
          </cell>
          <cell r="Q33">
            <v>14</v>
          </cell>
          <cell r="R33">
            <v>75</v>
          </cell>
          <cell r="S33">
            <v>2002</v>
          </cell>
          <cell r="T33">
            <v>607</v>
          </cell>
          <cell r="U33">
            <v>150</v>
          </cell>
          <cell r="V33">
            <v>105</v>
          </cell>
          <cell r="W33">
            <v>309</v>
          </cell>
          <cell r="X33">
            <v>123</v>
          </cell>
          <cell r="Y33">
            <v>24</v>
          </cell>
          <cell r="Z33">
            <v>402</v>
          </cell>
          <cell r="AA33">
            <v>137</v>
          </cell>
          <cell r="AB33">
            <v>593</v>
          </cell>
          <cell r="AC33">
            <v>1096</v>
          </cell>
          <cell r="AD33">
            <v>1062</v>
          </cell>
          <cell r="AE33">
            <v>41</v>
          </cell>
          <cell r="AF33">
            <v>1615</v>
          </cell>
          <cell r="AG33">
            <v>9</v>
          </cell>
          <cell r="AH33">
            <v>24</v>
          </cell>
          <cell r="AI33">
            <v>1648</v>
          </cell>
          <cell r="AJ33">
            <v>71268</v>
          </cell>
          <cell r="AK33">
            <v>2324</v>
          </cell>
          <cell r="AL33">
            <v>398</v>
          </cell>
          <cell r="AM33">
            <v>37</v>
          </cell>
          <cell r="AN33">
            <v>104</v>
          </cell>
          <cell r="AO33">
            <v>1080</v>
          </cell>
          <cell r="AP33">
            <v>39</v>
          </cell>
          <cell r="AQ33">
            <v>180</v>
          </cell>
          <cell r="AR33">
            <v>1492</v>
          </cell>
          <cell r="AS33">
            <v>62</v>
          </cell>
          <cell r="AT33">
            <v>36</v>
          </cell>
          <cell r="AU33">
            <v>465</v>
          </cell>
          <cell r="AV33">
            <v>507</v>
          </cell>
          <cell r="AW33">
            <v>1092</v>
          </cell>
          <cell r="AX33">
            <v>166</v>
          </cell>
          <cell r="AY33">
            <v>435</v>
          </cell>
          <cell r="AZ33">
            <v>253</v>
          </cell>
          <cell r="BA33">
            <v>170</v>
          </cell>
          <cell r="BB33">
            <v>705</v>
          </cell>
          <cell r="BC33">
            <v>79</v>
          </cell>
          <cell r="BD33">
            <v>82</v>
          </cell>
          <cell r="BE33">
            <v>570</v>
          </cell>
          <cell r="BF33">
            <v>51</v>
          </cell>
          <cell r="BG33">
            <v>45</v>
          </cell>
          <cell r="BH33">
            <v>200</v>
          </cell>
          <cell r="BI33">
            <v>138</v>
          </cell>
          <cell r="BJ33">
            <v>3758</v>
          </cell>
          <cell r="BK33">
            <v>263</v>
          </cell>
          <cell r="BL33">
            <v>20</v>
          </cell>
          <cell r="BM33">
            <v>44</v>
          </cell>
          <cell r="BN33">
            <v>204</v>
          </cell>
          <cell r="BO33">
            <v>98</v>
          </cell>
          <cell r="BP33">
            <v>555</v>
          </cell>
          <cell r="BQ33">
            <v>84</v>
          </cell>
          <cell r="BR33">
            <v>3906</v>
          </cell>
          <cell r="BS33">
            <v>1348</v>
          </cell>
          <cell r="BT33">
            <v>130</v>
          </cell>
          <cell r="BU33">
            <v>834</v>
          </cell>
          <cell r="BV33">
            <v>113</v>
          </cell>
          <cell r="BW33">
            <v>29</v>
          </cell>
          <cell r="BX33">
            <v>22</v>
          </cell>
          <cell r="BY33" t="e">
            <v>#N/A</v>
          </cell>
          <cell r="BZ33">
            <v>207</v>
          </cell>
          <cell r="CA33">
            <v>567</v>
          </cell>
          <cell r="CB33">
            <v>82</v>
          </cell>
          <cell r="CC33">
            <v>64</v>
          </cell>
        </row>
        <row r="34">
          <cell r="A34" t="str">
            <v>No transmission transformers</v>
          </cell>
          <cell r="B34" t="str">
            <v>NTRST</v>
          </cell>
          <cell r="C34">
            <v>2011</v>
          </cell>
          <cell r="D34">
            <v>0</v>
          </cell>
          <cell r="E34">
            <v>0</v>
          </cell>
          <cell r="F34">
            <v>0</v>
          </cell>
          <cell r="G34">
            <v>2</v>
          </cell>
          <cell r="H34">
            <v>2</v>
          </cell>
          <cell r="I34">
            <v>0</v>
          </cell>
          <cell r="J34">
            <v>2</v>
          </cell>
          <cell r="K34">
            <v>0</v>
          </cell>
          <cell r="L34">
            <v>0</v>
          </cell>
          <cell r="M34" t="str">
            <v>0</v>
          </cell>
          <cell r="N34" t="str">
            <v>0</v>
          </cell>
          <cell r="O34" t="e">
            <v>#N/A</v>
          </cell>
          <cell r="P34">
            <v>77</v>
          </cell>
          <cell r="Q34">
            <v>0</v>
          </cell>
          <cell r="R34">
            <v>0</v>
          </cell>
          <cell r="S34" t="str">
            <v>0</v>
          </cell>
          <cell r="T34">
            <v>10</v>
          </cell>
          <cell r="U34">
            <v>0</v>
          </cell>
          <cell r="V34" t="str">
            <v>0</v>
          </cell>
          <cell r="W34">
            <v>0</v>
          </cell>
          <cell r="X34">
            <v>0</v>
          </cell>
          <cell r="Y34">
            <v>0</v>
          </cell>
          <cell r="Z34">
            <v>0</v>
          </cell>
          <cell r="AA34">
            <v>0</v>
          </cell>
          <cell r="AB34">
            <v>2</v>
          </cell>
          <cell r="AC34">
            <v>0</v>
          </cell>
          <cell r="AD34">
            <v>0</v>
          </cell>
          <cell r="AE34" t="str">
            <v>0</v>
          </cell>
          <cell r="AF34">
            <v>0</v>
          </cell>
          <cell r="AG34">
            <v>0</v>
          </cell>
          <cell r="AH34">
            <v>1</v>
          </cell>
          <cell r="AI34">
            <v>2</v>
          </cell>
          <cell r="AJ34">
            <v>242</v>
          </cell>
          <cell r="AK34">
            <v>27</v>
          </cell>
          <cell r="AL34">
            <v>0</v>
          </cell>
          <cell r="AM34">
            <v>3</v>
          </cell>
          <cell r="AN34">
            <v>0</v>
          </cell>
          <cell r="AO34">
            <v>18</v>
          </cell>
          <cell r="AP34" t="str">
            <v>0</v>
          </cell>
          <cell r="AQ34">
            <v>0</v>
          </cell>
          <cell r="AR34" t="str">
            <v>0</v>
          </cell>
          <cell r="AS34">
            <v>0</v>
          </cell>
          <cell r="AT34">
            <v>0</v>
          </cell>
          <cell r="AU34">
            <v>0</v>
          </cell>
          <cell r="AV34" t="str">
            <v>0</v>
          </cell>
          <cell r="AW34">
            <v>14</v>
          </cell>
          <cell r="AX34">
            <v>2</v>
          </cell>
          <cell r="AY34">
            <v>2</v>
          </cell>
          <cell r="AZ34">
            <v>0</v>
          </cell>
          <cell r="BA34" t="str">
            <v>0</v>
          </cell>
          <cell r="BB34">
            <v>0</v>
          </cell>
          <cell r="BC34">
            <v>0</v>
          </cell>
          <cell r="BD34" t="str">
            <v>0</v>
          </cell>
          <cell r="BE34">
            <v>0</v>
          </cell>
          <cell r="BF34">
            <v>0</v>
          </cell>
          <cell r="BG34" t="str">
            <v>0</v>
          </cell>
          <cell r="BH34">
            <v>0</v>
          </cell>
          <cell r="BI34">
            <v>0</v>
          </cell>
          <cell r="BJ34">
            <v>22</v>
          </cell>
          <cell r="BK34">
            <v>8</v>
          </cell>
          <cell r="BL34" t="str">
            <v>0</v>
          </cell>
          <cell r="BM34" t="str">
            <v>0</v>
          </cell>
          <cell r="BN34" t="str">
            <v>0</v>
          </cell>
          <cell r="BO34">
            <v>0</v>
          </cell>
          <cell r="BP34" t="str">
            <v>0</v>
          </cell>
          <cell r="BQ34" t="str">
            <v>0</v>
          </cell>
          <cell r="BR34">
            <v>2</v>
          </cell>
          <cell r="BS34">
            <v>0</v>
          </cell>
          <cell r="BT34">
            <v>0</v>
          </cell>
          <cell r="BU34">
            <v>8</v>
          </cell>
          <cell r="BV34" t="str">
            <v>0</v>
          </cell>
          <cell r="BW34">
            <v>0</v>
          </cell>
          <cell r="BX34">
            <v>0</v>
          </cell>
          <cell r="BY34" t="e">
            <v>#N/A</v>
          </cell>
          <cell r="BZ34">
            <v>0</v>
          </cell>
          <cell r="CA34">
            <v>0</v>
          </cell>
          <cell r="CB34">
            <v>0</v>
          </cell>
          <cell r="CC34">
            <v>0</v>
          </cell>
        </row>
        <row r="35">
          <cell r="A35" t="str">
            <v>No subtransmission transformer</v>
          </cell>
          <cell r="B35" t="str">
            <v>NTRFST</v>
          </cell>
          <cell r="C35">
            <v>2011</v>
          </cell>
          <cell r="D35">
            <v>21</v>
          </cell>
          <cell r="E35">
            <v>4</v>
          </cell>
          <cell r="F35">
            <v>25</v>
          </cell>
          <cell r="G35">
            <v>3</v>
          </cell>
          <cell r="H35">
            <v>0</v>
          </cell>
          <cell r="I35">
            <v>44</v>
          </cell>
          <cell r="J35">
            <v>0</v>
          </cell>
          <cell r="K35">
            <v>0</v>
          </cell>
          <cell r="L35">
            <v>6</v>
          </cell>
          <cell r="M35" t="str">
            <v>0</v>
          </cell>
          <cell r="N35">
            <v>19</v>
          </cell>
          <cell r="O35" t="e">
            <v>#N/A</v>
          </cell>
          <cell r="P35">
            <v>14</v>
          </cell>
          <cell r="Q35">
            <v>1</v>
          </cell>
          <cell r="R35">
            <v>0</v>
          </cell>
          <cell r="S35">
            <v>118</v>
          </cell>
          <cell r="T35">
            <v>10</v>
          </cell>
          <cell r="U35">
            <v>15</v>
          </cell>
          <cell r="V35" t="str">
            <v>0</v>
          </cell>
          <cell r="W35">
            <v>4</v>
          </cell>
          <cell r="X35">
            <v>0</v>
          </cell>
          <cell r="Y35">
            <v>0</v>
          </cell>
          <cell r="Z35">
            <v>45</v>
          </cell>
          <cell r="AA35">
            <v>0</v>
          </cell>
          <cell r="AB35">
            <v>0</v>
          </cell>
          <cell r="AC35">
            <v>5</v>
          </cell>
          <cell r="AD35">
            <v>12</v>
          </cell>
          <cell r="AE35" t="str">
            <v>0</v>
          </cell>
          <cell r="AF35">
            <v>7</v>
          </cell>
          <cell r="AG35">
            <v>0</v>
          </cell>
          <cell r="AH35">
            <v>3</v>
          </cell>
          <cell r="AI35">
            <v>19</v>
          </cell>
          <cell r="AJ35">
            <v>1560</v>
          </cell>
          <cell r="AK35">
            <v>143</v>
          </cell>
          <cell r="AL35">
            <v>17</v>
          </cell>
          <cell r="AM35">
            <v>0</v>
          </cell>
          <cell r="AN35">
            <v>37</v>
          </cell>
          <cell r="AO35">
            <v>7</v>
          </cell>
          <cell r="AP35">
            <v>7</v>
          </cell>
          <cell r="AQ35">
            <v>7</v>
          </cell>
          <cell r="AR35">
            <v>55</v>
          </cell>
          <cell r="AS35">
            <v>5</v>
          </cell>
          <cell r="AT35">
            <v>6</v>
          </cell>
          <cell r="AU35">
            <v>0</v>
          </cell>
          <cell r="AV35" t="str">
            <v>0</v>
          </cell>
          <cell r="AW35">
            <v>0</v>
          </cell>
          <cell r="AX35">
            <v>27</v>
          </cell>
          <cell r="AY35">
            <v>0</v>
          </cell>
          <cell r="AZ35">
            <v>19</v>
          </cell>
          <cell r="BA35" t="str">
            <v>0</v>
          </cell>
          <cell r="BB35">
            <v>40</v>
          </cell>
          <cell r="BC35" t="str">
            <v>0</v>
          </cell>
          <cell r="BD35" t="str">
            <v>0</v>
          </cell>
          <cell r="BE35">
            <v>16</v>
          </cell>
          <cell r="BF35">
            <v>14</v>
          </cell>
          <cell r="BG35">
            <v>5</v>
          </cell>
          <cell r="BH35">
            <v>37</v>
          </cell>
          <cell r="BI35">
            <v>0</v>
          </cell>
          <cell r="BJ35">
            <v>65</v>
          </cell>
          <cell r="BK35">
            <v>34</v>
          </cell>
          <cell r="BL35">
            <v>5</v>
          </cell>
          <cell r="BM35">
            <v>9</v>
          </cell>
          <cell r="BN35" t="str">
            <v>0</v>
          </cell>
          <cell r="BO35">
            <v>0</v>
          </cell>
          <cell r="BP35">
            <v>27</v>
          </cell>
          <cell r="BQ35">
            <v>3</v>
          </cell>
          <cell r="BR35">
            <v>0</v>
          </cell>
          <cell r="BS35">
            <v>63</v>
          </cell>
          <cell r="BT35">
            <v>5</v>
          </cell>
          <cell r="BU35">
            <v>4</v>
          </cell>
          <cell r="BV35">
            <v>615</v>
          </cell>
          <cell r="BW35">
            <v>6</v>
          </cell>
          <cell r="BX35">
            <v>4</v>
          </cell>
          <cell r="BY35" t="e">
            <v>#N/A</v>
          </cell>
          <cell r="BZ35">
            <v>27</v>
          </cell>
          <cell r="CA35">
            <v>30</v>
          </cell>
          <cell r="CB35">
            <v>0</v>
          </cell>
          <cell r="CC35">
            <v>0</v>
          </cell>
        </row>
        <row r="36">
          <cell r="A36" t="str">
            <v>No distribution transformers</v>
          </cell>
          <cell r="B36" t="str">
            <v>NTRFD</v>
          </cell>
          <cell r="C36">
            <v>2011</v>
          </cell>
          <cell r="D36">
            <v>4822</v>
          </cell>
          <cell r="E36">
            <v>324</v>
          </cell>
          <cell r="F36">
            <v>5443</v>
          </cell>
          <cell r="G36">
            <v>3300</v>
          </cell>
          <cell r="H36">
            <v>3234</v>
          </cell>
          <cell r="I36">
            <v>8325</v>
          </cell>
          <cell r="J36">
            <v>6984</v>
          </cell>
          <cell r="K36">
            <v>6</v>
          </cell>
          <cell r="L36">
            <v>830</v>
          </cell>
          <cell r="M36">
            <v>1</v>
          </cell>
          <cell r="N36">
            <v>3489</v>
          </cell>
          <cell r="O36" t="e">
            <v>#N/A</v>
          </cell>
          <cell r="P36">
            <v>2178</v>
          </cell>
          <cell r="Q36">
            <v>295</v>
          </cell>
          <cell r="R36">
            <v>1563</v>
          </cell>
          <cell r="S36">
            <v>25212</v>
          </cell>
          <cell r="T36">
            <v>8122</v>
          </cell>
          <cell r="U36">
            <v>2042</v>
          </cell>
          <cell r="V36">
            <v>5</v>
          </cell>
          <cell r="W36">
            <v>3060</v>
          </cell>
          <cell r="X36">
            <v>4</v>
          </cell>
          <cell r="Y36">
            <v>804</v>
          </cell>
          <cell r="Z36">
            <v>5648</v>
          </cell>
          <cell r="AA36">
            <v>1433</v>
          </cell>
          <cell r="AB36">
            <v>5711</v>
          </cell>
          <cell r="AC36">
            <v>7179</v>
          </cell>
          <cell r="AD36">
            <v>3740</v>
          </cell>
          <cell r="AE36" t="str">
            <v>0</v>
          </cell>
          <cell r="AF36">
            <v>46</v>
          </cell>
          <cell r="AG36">
            <v>180</v>
          </cell>
          <cell r="AH36">
            <v>745</v>
          </cell>
          <cell r="AI36">
            <v>15826</v>
          </cell>
          <cell r="AJ36">
            <v>431</v>
          </cell>
          <cell r="AK36">
            <v>42970</v>
          </cell>
          <cell r="AL36">
            <v>3312</v>
          </cell>
          <cell r="AM36">
            <v>688</v>
          </cell>
          <cell r="AN36">
            <v>2141</v>
          </cell>
          <cell r="AO36">
            <v>10394</v>
          </cell>
          <cell r="AP36">
            <v>980</v>
          </cell>
          <cell r="AQ36">
            <v>7</v>
          </cell>
          <cell r="AR36">
            <v>15164</v>
          </cell>
          <cell r="AS36">
            <v>890</v>
          </cell>
          <cell r="AT36">
            <v>1235</v>
          </cell>
          <cell r="AU36">
            <v>5146</v>
          </cell>
          <cell r="AV36">
            <v>4153</v>
          </cell>
          <cell r="AW36">
            <v>9456</v>
          </cell>
          <cell r="AX36">
            <v>1952</v>
          </cell>
          <cell r="AY36">
            <v>12</v>
          </cell>
          <cell r="AZ36">
            <v>4068</v>
          </cell>
          <cell r="BA36" t="str">
            <v>0</v>
          </cell>
          <cell r="BB36">
            <v>8285</v>
          </cell>
          <cell r="BC36">
            <v>1416</v>
          </cell>
          <cell r="BD36">
            <v>10</v>
          </cell>
          <cell r="BE36">
            <v>6439</v>
          </cell>
          <cell r="BF36">
            <v>1592</v>
          </cell>
          <cell r="BG36">
            <v>687</v>
          </cell>
          <cell r="BH36">
            <v>3864</v>
          </cell>
          <cell r="BI36">
            <v>8</v>
          </cell>
          <cell r="BJ36">
            <v>42603</v>
          </cell>
          <cell r="BK36">
            <v>6082</v>
          </cell>
          <cell r="BL36">
            <v>645</v>
          </cell>
          <cell r="BM36">
            <v>973</v>
          </cell>
          <cell r="BN36">
            <v>0</v>
          </cell>
          <cell r="BO36">
            <v>1393</v>
          </cell>
          <cell r="BP36">
            <v>7132</v>
          </cell>
          <cell r="BQ36">
            <v>850</v>
          </cell>
          <cell r="BR36">
            <v>60604</v>
          </cell>
          <cell r="BS36">
            <v>16991</v>
          </cell>
          <cell r="BT36">
            <v>1505</v>
          </cell>
          <cell r="BU36">
            <v>14</v>
          </cell>
          <cell r="BV36">
            <v>1924</v>
          </cell>
          <cell r="BW36">
            <v>676</v>
          </cell>
          <cell r="BX36">
            <v>457</v>
          </cell>
          <cell r="BY36" t="e">
            <v>#N/A</v>
          </cell>
          <cell r="BZ36">
            <v>2994</v>
          </cell>
          <cell r="CA36">
            <v>5423</v>
          </cell>
          <cell r="CB36">
            <v>1561</v>
          </cell>
          <cell r="CC36">
            <v>11</v>
          </cell>
        </row>
        <row r="37">
          <cell r="A37" t="str">
            <v>Utility average load factor</v>
          </cell>
          <cell r="B37" t="str">
            <v>LF</v>
          </cell>
          <cell r="C37">
            <v>2011</v>
          </cell>
          <cell r="D37">
            <v>77</v>
          </cell>
          <cell r="E37">
            <v>72</v>
          </cell>
          <cell r="F37">
            <v>88</v>
          </cell>
          <cell r="G37" t="str">
            <v>0</v>
          </cell>
          <cell r="H37">
            <v>70</v>
          </cell>
          <cell r="I37">
            <v>70</v>
          </cell>
          <cell r="J37">
            <v>71</v>
          </cell>
          <cell r="K37">
            <v>81</v>
          </cell>
          <cell r="L37">
            <v>83</v>
          </cell>
          <cell r="M37">
            <v>75</v>
          </cell>
          <cell r="N37">
            <v>72</v>
          </cell>
          <cell r="O37" t="e">
            <v>#N/A</v>
          </cell>
          <cell r="P37" t="str">
            <v>0</v>
          </cell>
          <cell r="Q37" t="str">
            <v>0</v>
          </cell>
          <cell r="R37">
            <v>0</v>
          </cell>
          <cell r="S37">
            <v>74</v>
          </cell>
          <cell r="T37">
            <v>54</v>
          </cell>
          <cell r="U37">
            <v>74</v>
          </cell>
          <cell r="V37">
            <v>73</v>
          </cell>
          <cell r="W37">
            <v>59</v>
          </cell>
          <cell r="X37">
            <v>86</v>
          </cell>
          <cell r="Y37">
            <v>71</v>
          </cell>
          <cell r="Z37">
            <v>73</v>
          </cell>
          <cell r="AA37">
            <v>67</v>
          </cell>
          <cell r="AB37">
            <v>76</v>
          </cell>
          <cell r="AC37">
            <v>64</v>
          </cell>
          <cell r="AD37">
            <v>0</v>
          </cell>
          <cell r="AE37">
            <v>68</v>
          </cell>
          <cell r="AF37">
            <v>75</v>
          </cell>
          <cell r="AG37">
            <v>69</v>
          </cell>
          <cell r="AH37">
            <v>82</v>
          </cell>
          <cell r="AI37">
            <v>73</v>
          </cell>
          <cell r="AJ37">
            <v>80</v>
          </cell>
          <cell r="AK37">
            <v>72</v>
          </cell>
          <cell r="AL37">
            <v>55</v>
          </cell>
          <cell r="AM37" t="str">
            <v>0</v>
          </cell>
          <cell r="AN37">
            <v>81</v>
          </cell>
          <cell r="AO37">
            <v>71</v>
          </cell>
          <cell r="AP37" t="str">
            <v>0</v>
          </cell>
          <cell r="AQ37">
            <v>71</v>
          </cell>
          <cell r="AR37">
            <v>72</v>
          </cell>
          <cell r="AS37">
            <v>72</v>
          </cell>
          <cell r="AT37">
            <v>71</v>
          </cell>
          <cell r="AU37">
            <v>54</v>
          </cell>
          <cell r="AV37" t="str">
            <v>0</v>
          </cell>
          <cell r="AW37" t="str">
            <v>0</v>
          </cell>
          <cell r="AX37">
            <v>70</v>
          </cell>
          <cell r="AY37">
            <v>77</v>
          </cell>
          <cell r="AZ37">
            <v>75</v>
          </cell>
          <cell r="BA37">
            <v>72</v>
          </cell>
          <cell r="BB37">
            <v>67</v>
          </cell>
          <cell r="BC37">
            <v>71</v>
          </cell>
          <cell r="BD37">
            <v>71</v>
          </cell>
          <cell r="BE37">
            <v>55</v>
          </cell>
          <cell r="BF37">
            <v>78</v>
          </cell>
          <cell r="BG37">
            <v>68270</v>
          </cell>
          <cell r="BH37">
            <v>71</v>
          </cell>
          <cell r="BI37">
            <v>84</v>
          </cell>
          <cell r="BJ37">
            <v>0</v>
          </cell>
          <cell r="BK37">
            <v>72</v>
          </cell>
          <cell r="BL37">
            <v>70</v>
          </cell>
          <cell r="BM37" t="str">
            <v>0</v>
          </cell>
          <cell r="BN37">
            <v>8</v>
          </cell>
          <cell r="BO37">
            <v>53</v>
          </cell>
          <cell r="BP37">
            <v>76</v>
          </cell>
          <cell r="BQ37">
            <v>63</v>
          </cell>
          <cell r="BR37">
            <v>75</v>
          </cell>
          <cell r="BS37">
            <v>74</v>
          </cell>
          <cell r="BT37">
            <v>66</v>
          </cell>
          <cell r="BU37">
            <v>71</v>
          </cell>
          <cell r="BV37">
            <v>67</v>
          </cell>
          <cell r="BW37">
            <v>87</v>
          </cell>
          <cell r="BX37">
            <v>62</v>
          </cell>
          <cell r="BY37" t="e">
            <v>#N/A</v>
          </cell>
          <cell r="BZ37">
            <v>71</v>
          </cell>
          <cell r="CA37">
            <v>69</v>
          </cell>
          <cell r="CB37">
            <v>71</v>
          </cell>
          <cell r="CC37">
            <v>80</v>
          </cell>
        </row>
      </sheetData>
      <sheetData sheetId="12" refreshError="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3" refreshError="1"/>
      <sheetData sheetId="14" refreshError="1"/>
      <sheetData sheetId="15" refreshError="1"/>
      <sheetData sheetId="16" refreshError="1"/>
      <sheetData sheetId="17" refreshError="1"/>
      <sheetData sheetId="18">
        <row r="93">
          <cell r="M93">
            <v>95.5</v>
          </cell>
        </row>
      </sheetData>
      <sheetData sheetId="19">
        <row r="106">
          <cell r="W106">
            <v>91.329146341463414</v>
          </cell>
        </row>
      </sheetData>
      <sheetData sheetId="20">
        <row r="108">
          <cell r="M108">
            <v>91.329146341463414</v>
          </cell>
        </row>
      </sheetData>
      <sheetData sheetId="21">
        <row r="95">
          <cell r="M95">
            <v>51.164212860310414</v>
          </cell>
        </row>
      </sheetData>
      <sheetData sheetId="22">
        <row r="2">
          <cell r="B2">
            <v>0</v>
          </cell>
        </row>
      </sheetData>
      <sheetData sheetId="23">
        <row r="7">
          <cell r="E7" t="str">
            <v>PTOT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Name val="variables"/>
      <sheetName val="2. Smart Meter Investment Data"/>
      <sheetName val="3. HV Data-HV Equipment Owners"/>
      <sheetName val="4. LV Data-Host Distributors"/>
      <sheetName val="lists"/>
      <sheetName val="1815 Balances"/>
    </sheetNames>
    <sheetDataSet>
      <sheetData sheetId="0" refreshError="1">
        <row r="14">
          <cell r="F14" t="str">
            <v>Algoma Power Inc.</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Name val="variables"/>
      <sheetName val="2. Smart Meter Investment Data"/>
      <sheetName val="3. HV Data-HV Equipment Owners"/>
      <sheetName val="4. LV Data-Host Distributors"/>
      <sheetName val="lists"/>
      <sheetName val="1815 Balances"/>
    </sheetNames>
    <sheetDataSet>
      <sheetData sheetId="0" refreshError="1">
        <row r="14">
          <cell r="F14" t="str">
            <v>Bluewater Power Distribution Corporation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Unit Cost Calc"/>
      <sheetName val="peer group data with H1 and TOR"/>
      <sheetName val="2011 yndx calc"/>
      <sheetName val="2010 yndx calc"/>
      <sheetName val="2009 yndx calc "/>
      <sheetName val="2009-2011 Unit costs"/>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refreshError="1">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_DRILL_TrialBalance_(540"/>
      <sheetName val="Lists"/>
      <sheetName val="Review 1"/>
      <sheetName val="summary8902"/>
      <sheetName val="summary02 (scratch)"/>
      <sheetName val="panel"/>
      <sheetName val="panel (plant add chk)"/>
      <sheetName val="plant add chk"/>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archive.org/details/ontariohydrostat1978onta" TargetMode="External"/><Relationship Id="rId13" Type="http://schemas.openxmlformats.org/officeDocument/2006/relationships/hyperlink" Target="http://archive.org/details/ontariohydrostat1983onta" TargetMode="External"/><Relationship Id="rId18" Type="http://schemas.openxmlformats.org/officeDocument/2006/relationships/hyperlink" Target="http://archive.org/details/ontariohydrostat1988onta" TargetMode="External"/><Relationship Id="rId26" Type="http://schemas.openxmlformats.org/officeDocument/2006/relationships/hyperlink" Target="http://archive.org/details/ontariohydrostat1996onta" TargetMode="External"/><Relationship Id="rId3" Type="http://schemas.openxmlformats.org/officeDocument/2006/relationships/hyperlink" Target="http://archive.org/details/ontariohydrostat1973onta" TargetMode="External"/><Relationship Id="rId21" Type="http://schemas.openxmlformats.org/officeDocument/2006/relationships/hyperlink" Target="http://archive.org/details/ontariohydrostat1991onta" TargetMode="External"/><Relationship Id="rId7" Type="http://schemas.openxmlformats.org/officeDocument/2006/relationships/hyperlink" Target="http://archive.org/details/ontariohydrostat1977onta" TargetMode="External"/><Relationship Id="rId12" Type="http://schemas.openxmlformats.org/officeDocument/2006/relationships/hyperlink" Target="http://archive.org/details/ontariohydrostat1982onta" TargetMode="External"/><Relationship Id="rId17" Type="http://schemas.openxmlformats.org/officeDocument/2006/relationships/hyperlink" Target="http://archive.org/details/ontariohydrostat1987onta" TargetMode="External"/><Relationship Id="rId25" Type="http://schemas.openxmlformats.org/officeDocument/2006/relationships/hyperlink" Target="http://archive.org/details/ontariohydrostat1995onta" TargetMode="External"/><Relationship Id="rId2" Type="http://schemas.openxmlformats.org/officeDocument/2006/relationships/hyperlink" Target="http://archive.org/details/ontariohydrostat1971onta" TargetMode="External"/><Relationship Id="rId16" Type="http://schemas.openxmlformats.org/officeDocument/2006/relationships/hyperlink" Target="http://archive.org/details/ontariohydrostat1986onta" TargetMode="External"/><Relationship Id="rId20" Type="http://schemas.openxmlformats.org/officeDocument/2006/relationships/hyperlink" Target="http://archive.org/details/ontariohydrostat1990onta" TargetMode="External"/><Relationship Id="rId1" Type="http://schemas.openxmlformats.org/officeDocument/2006/relationships/hyperlink" Target="http://archive.org/search.php?query=collection%3A%22toronto%22+AND+%28ontario+hydro+yearbook+AND+collection%3Atoronto%29&amp;sort=date" TargetMode="External"/><Relationship Id="rId6" Type="http://schemas.openxmlformats.org/officeDocument/2006/relationships/hyperlink" Target="http://archive.org/details/ontariohydrostat1976onta" TargetMode="External"/><Relationship Id="rId11" Type="http://schemas.openxmlformats.org/officeDocument/2006/relationships/hyperlink" Target="http://archive.org/details/ontariohydrostat1981onta" TargetMode="External"/><Relationship Id="rId24" Type="http://schemas.openxmlformats.org/officeDocument/2006/relationships/hyperlink" Target="http://archive.org/details/ontariohydrostat1994onta" TargetMode="External"/><Relationship Id="rId5" Type="http://schemas.openxmlformats.org/officeDocument/2006/relationships/hyperlink" Target="http://archive.org/details/ontariohydrostat1975onta" TargetMode="External"/><Relationship Id="rId15" Type="http://schemas.openxmlformats.org/officeDocument/2006/relationships/hyperlink" Target="http://archive.org/details/ontariohydrostat1985onta" TargetMode="External"/><Relationship Id="rId23" Type="http://schemas.openxmlformats.org/officeDocument/2006/relationships/hyperlink" Target="http://archive.org/details/ontariohydrostat1993onta" TargetMode="External"/><Relationship Id="rId28" Type="http://schemas.openxmlformats.org/officeDocument/2006/relationships/drawing" Target="../drawings/drawing1.xml"/><Relationship Id="rId10" Type="http://schemas.openxmlformats.org/officeDocument/2006/relationships/hyperlink" Target="http://archive.org/details/ontariohydrostat1980onta" TargetMode="External"/><Relationship Id="rId19" Type="http://schemas.openxmlformats.org/officeDocument/2006/relationships/hyperlink" Target="http://archive.org/details/ontariohydrostat1989onta" TargetMode="External"/><Relationship Id="rId4" Type="http://schemas.openxmlformats.org/officeDocument/2006/relationships/hyperlink" Target="http://archive.org/details/ontariohydrostat1974onta" TargetMode="External"/><Relationship Id="rId9" Type="http://schemas.openxmlformats.org/officeDocument/2006/relationships/hyperlink" Target="http://archive.org/details/ontariohydrostat1979onta" TargetMode="External"/><Relationship Id="rId14" Type="http://schemas.openxmlformats.org/officeDocument/2006/relationships/hyperlink" Target="http://archive.org/details/ontariohydrostat1984onta" TargetMode="External"/><Relationship Id="rId22" Type="http://schemas.openxmlformats.org/officeDocument/2006/relationships/hyperlink" Target="http://archive.org/details/ontariohydrostat1992onta" TargetMode="External"/><Relationship Id="rId27" Type="http://schemas.openxmlformats.org/officeDocument/2006/relationships/hyperlink" Target="http://archive.org/details/ontariohydrostat1997ont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hyperlink" Target="http://www5.statcan.gc.ca/cansim/a03?searchTypeByValue=1&amp;lang=eng&amp;pattern=2810063"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data.bls.gov/timeseries/CIU2024400000000I" TargetMode="External"/><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39"/>
  <sheetViews>
    <sheetView showGridLines="0" tabSelected="1" zoomScale="96" zoomScaleNormal="96" zoomScalePageLayoutView="96" workbookViewId="0">
      <selection activeCell="G13" sqref="G13"/>
    </sheetView>
  </sheetViews>
  <sheetFormatPr defaultColWidth="8.85546875" defaultRowHeight="12.75" x14ac:dyDescent="0.2"/>
  <cols>
    <col min="2" max="2" width="10" customWidth="1"/>
    <col min="3" max="3" width="12.85546875" customWidth="1"/>
    <col min="4" max="4" width="13.140625" customWidth="1"/>
    <col min="5" max="5" width="14" customWidth="1"/>
    <col min="6" max="6" width="11.85546875" customWidth="1"/>
    <col min="7" max="7" width="12.140625" customWidth="1"/>
    <col min="8" max="8" width="9.140625" customWidth="1"/>
    <col min="9" max="9" width="2.7109375" style="33" customWidth="1"/>
    <col min="10" max="10" width="8.85546875" customWidth="1"/>
    <col min="11" max="11" width="12.42578125" customWidth="1"/>
    <col min="12" max="12" width="2.7109375" style="33" customWidth="1"/>
    <col min="13" max="13" width="11" customWidth="1"/>
    <col min="14" max="14" width="12.140625" customWidth="1"/>
    <col min="15" max="15" width="2.7109375" style="33" customWidth="1"/>
    <col min="18" max="18" width="9.42578125" customWidth="1"/>
    <col min="19" max="19" width="11.7109375" customWidth="1"/>
    <col min="22" max="22" width="11.140625" bestFit="1" customWidth="1"/>
  </cols>
  <sheetData>
    <row r="1" spans="1:22" ht="15" customHeight="1" x14ac:dyDescent="0.2">
      <c r="A1" s="745" t="s">
        <v>873</v>
      </c>
      <c r="B1" s="745"/>
      <c r="C1" s="745"/>
      <c r="D1" s="745"/>
      <c r="E1" s="745"/>
      <c r="F1" s="745"/>
      <c r="G1" s="745"/>
      <c r="H1" s="745"/>
      <c r="I1" s="745"/>
      <c r="J1" s="745"/>
      <c r="K1" s="745"/>
      <c r="L1" s="745"/>
      <c r="M1" s="745"/>
      <c r="N1" s="745"/>
      <c r="O1" s="745"/>
      <c r="P1" s="745"/>
      <c r="Q1" s="745"/>
      <c r="R1" s="745"/>
      <c r="S1" s="668"/>
      <c r="T1" s="668"/>
      <c r="U1" s="668"/>
      <c r="V1" s="667"/>
    </row>
    <row r="2" spans="1:22" ht="15" x14ac:dyDescent="0.25">
      <c r="D2" s="559"/>
    </row>
    <row r="3" spans="1:22" ht="24" x14ac:dyDescent="0.35">
      <c r="C3" s="746" t="s">
        <v>872</v>
      </c>
      <c r="D3" s="746"/>
      <c r="E3" s="747"/>
      <c r="F3" s="746"/>
      <c r="G3" s="746"/>
      <c r="H3" s="746"/>
      <c r="I3" s="746"/>
      <c r="J3" s="746"/>
      <c r="K3" s="746"/>
      <c r="L3" s="746"/>
      <c r="M3" s="746"/>
      <c r="N3" s="746"/>
      <c r="O3" s="746"/>
      <c r="P3" s="746"/>
      <c r="Q3" s="746"/>
      <c r="R3" s="746"/>
    </row>
    <row r="4" spans="1:22" ht="21" hidden="1" customHeight="1" x14ac:dyDescent="0.25">
      <c r="B4" s="749" t="s">
        <v>868</v>
      </c>
      <c r="C4" s="749"/>
      <c r="D4" s="749"/>
      <c r="E4" s="749"/>
      <c r="F4" s="749"/>
      <c r="G4" s="749"/>
      <c r="H4" s="749"/>
      <c r="I4" s="749"/>
      <c r="J4" s="749"/>
      <c r="K4" s="749"/>
      <c r="L4" s="749"/>
      <c r="M4" s="749"/>
      <c r="N4" s="749"/>
      <c r="O4" s="749"/>
      <c r="P4" s="749"/>
      <c r="Q4" s="749"/>
      <c r="R4" s="749"/>
    </row>
    <row r="5" spans="1:22" ht="15" x14ac:dyDescent="0.25">
      <c r="D5" s="559"/>
    </row>
    <row r="6" spans="1:22" ht="15" x14ac:dyDescent="0.25">
      <c r="B6" s="559"/>
      <c r="C6" s="564" t="s">
        <v>597</v>
      </c>
      <c r="D6" s="563" t="s">
        <v>742</v>
      </c>
      <c r="E6" s="563" t="s">
        <v>742</v>
      </c>
      <c r="F6" s="748" t="s">
        <v>679</v>
      </c>
      <c r="G6" s="748"/>
      <c r="H6" s="623"/>
      <c r="I6" s="623"/>
      <c r="J6" s="748" t="s">
        <v>637</v>
      </c>
      <c r="K6" s="748"/>
      <c r="L6" s="623"/>
      <c r="M6" s="748" t="s">
        <v>636</v>
      </c>
      <c r="N6" s="748"/>
      <c r="O6" s="623"/>
      <c r="P6" s="748" t="s">
        <v>596</v>
      </c>
      <c r="Q6" s="748"/>
      <c r="R6" s="564" t="s">
        <v>665</v>
      </c>
    </row>
    <row r="7" spans="1:22" ht="15" x14ac:dyDescent="0.25">
      <c r="B7" s="559"/>
      <c r="C7" s="564" t="s">
        <v>594</v>
      </c>
      <c r="D7" s="564" t="s">
        <v>631</v>
      </c>
      <c r="E7" s="564" t="s">
        <v>741</v>
      </c>
      <c r="F7" s="563" t="s">
        <v>216</v>
      </c>
      <c r="G7" s="564" t="s">
        <v>28</v>
      </c>
      <c r="H7" s="779" t="s">
        <v>17</v>
      </c>
      <c r="I7" s="623"/>
      <c r="J7" s="564" t="s">
        <v>15</v>
      </c>
      <c r="K7" s="564" t="s">
        <v>17</v>
      </c>
      <c r="L7" s="623"/>
      <c r="M7" s="564" t="s">
        <v>15</v>
      </c>
      <c r="N7" s="564" t="s">
        <v>17</v>
      </c>
      <c r="O7" s="623"/>
      <c r="P7" s="564" t="s">
        <v>216</v>
      </c>
      <c r="Q7" s="564" t="s">
        <v>28</v>
      </c>
      <c r="R7" s="564" t="s">
        <v>17</v>
      </c>
      <c r="S7" s="18"/>
    </row>
    <row r="8" spans="1:22" ht="15" x14ac:dyDescent="0.25">
      <c r="B8" s="565"/>
      <c r="C8" s="564" t="s">
        <v>763</v>
      </c>
      <c r="D8" s="565"/>
      <c r="E8" s="624"/>
      <c r="F8" s="624"/>
      <c r="G8" s="625"/>
      <c r="H8" s="780"/>
      <c r="I8" s="626"/>
      <c r="J8" s="565"/>
      <c r="K8" s="565"/>
      <c r="L8" s="626"/>
      <c r="M8" s="565"/>
      <c r="N8" s="565"/>
      <c r="O8" s="626"/>
      <c r="P8" s="565"/>
      <c r="Q8" s="565"/>
      <c r="R8" s="565"/>
      <c r="S8" s="18"/>
    </row>
    <row r="9" spans="1:22" ht="15" x14ac:dyDescent="0.25">
      <c r="B9" s="565"/>
      <c r="C9" s="565"/>
      <c r="D9" s="565"/>
      <c r="E9" s="624"/>
      <c r="F9" s="627"/>
      <c r="G9" s="565"/>
      <c r="H9" s="781"/>
      <c r="I9" s="628"/>
      <c r="J9" s="565"/>
      <c r="K9" s="565"/>
      <c r="L9" s="628"/>
      <c r="M9" s="565"/>
      <c r="N9" s="565"/>
      <c r="O9" s="628"/>
      <c r="P9" s="565"/>
      <c r="Q9" s="565"/>
      <c r="R9" s="565"/>
    </row>
    <row r="10" spans="1:22" ht="15" x14ac:dyDescent="0.25">
      <c r="B10" s="563">
        <v>2002</v>
      </c>
      <c r="C10" s="629">
        <f>'OPG TFP'!D89</f>
        <v>6383.5099999999984</v>
      </c>
      <c r="D10" s="629">
        <f>'OPG TFP'!H89</f>
        <v>109088.24897132859</v>
      </c>
      <c r="E10" s="630">
        <f>'Table 1'!F9</f>
        <v>1</v>
      </c>
      <c r="F10" s="629">
        <f t="shared" ref="F10:F22" si="0">D10/E10</f>
        <v>109088.24897132859</v>
      </c>
      <c r="G10" s="629">
        <f>'OPG TFP 1HS'!AD89</f>
        <v>35103778.156716131</v>
      </c>
      <c r="H10" s="782"/>
      <c r="I10" s="631"/>
      <c r="J10" s="632">
        <v>1</v>
      </c>
      <c r="K10" s="633"/>
      <c r="L10" s="631"/>
      <c r="M10" s="632">
        <v>1</v>
      </c>
      <c r="N10" s="633"/>
      <c r="O10" s="631"/>
      <c r="P10" s="634">
        <f>'Table 1'!P9</f>
        <v>5.5443581309581269E-2</v>
      </c>
      <c r="Q10" s="634">
        <f>1-P10</f>
        <v>0.94455641869041873</v>
      </c>
      <c r="R10" s="563"/>
      <c r="S10" s="38"/>
      <c r="V10" s="744"/>
    </row>
    <row r="11" spans="1:22" ht="15" x14ac:dyDescent="0.25">
      <c r="B11" s="563">
        <v>2003</v>
      </c>
      <c r="C11" s="629">
        <f>'OPG TFP'!D90</f>
        <v>6408.957020443544</v>
      </c>
      <c r="D11" s="629">
        <f>'OPG TFP'!H90</f>
        <v>120944.82453929978</v>
      </c>
      <c r="E11" s="630">
        <f>'Table 1'!F10</f>
        <v>1.0216477671655084</v>
      </c>
      <c r="F11" s="629">
        <f>D11/E11</f>
        <v>118382.11605439406</v>
      </c>
      <c r="G11" s="629">
        <f>'OPG TFP 1HS'!AD90</f>
        <v>35037848.97360792</v>
      </c>
      <c r="H11" s="783">
        <f>LN(G11/G10)</f>
        <v>-1.8798880271693682E-3</v>
      </c>
      <c r="I11" s="631"/>
      <c r="J11" s="632">
        <f>EXP(K11)*J10</f>
        <v>0.92516605154787357</v>
      </c>
      <c r="K11" s="558">
        <f t="shared" ref="K11:K22" si="1">LN(C11/C10)-LN(F11/F10)</f>
        <v>-7.7782042393744616E-2</v>
      </c>
      <c r="L11" s="631"/>
      <c r="M11" s="632">
        <f>EXP(N11)*M10</f>
        <v>1.0058755251691158</v>
      </c>
      <c r="N11" s="558">
        <f t="shared" ref="N11:N22" si="2">LN(C11/C10)-LN(G11/G10)</f>
        <v>5.858331585791415E-3</v>
      </c>
      <c r="O11" s="631"/>
      <c r="P11" s="634">
        <f>'Table 1'!P10</f>
        <v>6.3199829850418832E-2</v>
      </c>
      <c r="Q11" s="634">
        <f t="shared" ref="Q11:Q22" si="3">1-P11</f>
        <v>0.93680017014958117</v>
      </c>
      <c r="R11" s="558">
        <f t="shared" ref="R11:R22" si="4">AVERAGE(P10:P11)*K11+AVERAGE(Q10:Q11)*N11</f>
        <v>8.9664194597628092E-4</v>
      </c>
      <c r="S11" s="38"/>
      <c r="V11" s="744"/>
    </row>
    <row r="12" spans="1:22" ht="15" x14ac:dyDescent="0.25">
      <c r="B12" s="563">
        <v>2004</v>
      </c>
      <c r="C12" s="629">
        <f>'OPG TFP'!D91</f>
        <v>6438.5680987778505</v>
      </c>
      <c r="D12" s="629">
        <f>'OPG TFP'!H91</f>
        <v>122341.0606883751</v>
      </c>
      <c r="E12" s="630">
        <f>'Table 1'!F11</f>
        <v>1.046469360323721</v>
      </c>
      <c r="F12" s="629">
        <f t="shared" si="0"/>
        <v>116908.40202959158</v>
      </c>
      <c r="G12" s="629">
        <f>'OPG TFP 1HS'!AD91</f>
        <v>34485436.156571217</v>
      </c>
      <c r="H12" s="783">
        <f t="shared" ref="H12:H23" si="5">LN(G12/G11)</f>
        <v>-1.589178192264987E-2</v>
      </c>
      <c r="I12" s="631"/>
      <c r="J12" s="632">
        <f t="shared" ref="J12:M22" si="6">EXP(K12)*J11</f>
        <v>0.94115682673756573</v>
      </c>
      <c r="K12" s="558">
        <f t="shared" si="1"/>
        <v>1.7136548768158729E-2</v>
      </c>
      <c r="L12" s="631"/>
      <c r="M12" s="632">
        <f t="shared" si="6"/>
        <v>1.026710228339184</v>
      </c>
      <c r="N12" s="558">
        <f t="shared" si="2"/>
        <v>2.0501406031950335E-2</v>
      </c>
      <c r="O12" s="631"/>
      <c r="P12" s="634">
        <f>'Table 1'!P11</f>
        <v>7.1405751806133511E-2</v>
      </c>
      <c r="Q12" s="634">
        <f t="shared" si="3"/>
        <v>0.92859424819386649</v>
      </c>
      <c r="R12" s="558">
        <f t="shared" si="4"/>
        <v>2.027494174735836E-2</v>
      </c>
      <c r="S12" s="38"/>
      <c r="V12" s="744"/>
    </row>
    <row r="13" spans="1:22" ht="15" x14ac:dyDescent="0.25">
      <c r="B13" s="563">
        <v>2005</v>
      </c>
      <c r="C13" s="629">
        <f>'OPG TFP'!D92</f>
        <v>6406.7361895684708</v>
      </c>
      <c r="D13" s="629">
        <f>'OPG TFP'!H92</f>
        <v>131758.62706965208</v>
      </c>
      <c r="E13" s="630">
        <f>'Table 1'!F12</f>
        <v>1.0786967724726459</v>
      </c>
      <c r="F13" s="629">
        <f t="shared" si="0"/>
        <v>122146.12153481091</v>
      </c>
      <c r="G13" s="629">
        <f>'OPG TFP 1HS'!AD92</f>
        <v>34567137.43842788</v>
      </c>
      <c r="H13" s="783">
        <f t="shared" si="5"/>
        <v>2.3663511938166958E-3</v>
      </c>
      <c r="I13" s="631"/>
      <c r="J13" s="632">
        <f t="shared" si="6"/>
        <v>0.89634579939186176</v>
      </c>
      <c r="K13" s="558">
        <f t="shared" si="1"/>
        <v>-4.878351001480552E-2</v>
      </c>
      <c r="L13" s="631"/>
      <c r="M13" s="632">
        <f t="shared" si="6"/>
        <v>1.0192195449467614</v>
      </c>
      <c r="N13" s="558">
        <f t="shared" si="2"/>
        <v>-7.3225552127498261E-3</v>
      </c>
      <c r="O13" s="631"/>
      <c r="P13" s="634">
        <f>'Table 1'!P12</f>
        <v>7.7472173273626876E-2</v>
      </c>
      <c r="Q13" s="634">
        <f t="shared" si="3"/>
        <v>0.92252782672637312</v>
      </c>
      <c r="R13" s="558">
        <f t="shared" si="4"/>
        <v>-1.0408865674127715E-2</v>
      </c>
      <c r="S13" s="38"/>
      <c r="V13" s="744"/>
    </row>
    <row r="14" spans="1:22" ht="15" x14ac:dyDescent="0.25">
      <c r="B14" s="563">
        <v>2006</v>
      </c>
      <c r="C14" s="629">
        <f>'OPG TFP'!D93</f>
        <v>6450.5975993511629</v>
      </c>
      <c r="D14" s="629">
        <f>'OPG TFP'!H93</f>
        <v>144914.69335126973</v>
      </c>
      <c r="E14" s="630">
        <f>'Table 1'!F13</f>
        <v>1.099250227385117</v>
      </c>
      <c r="F14" s="629">
        <f t="shared" si="0"/>
        <v>131830.48749145228</v>
      </c>
      <c r="G14" s="629">
        <f>'OPG TFP 1HS'!AD93</f>
        <v>33975361.718008325</v>
      </c>
      <c r="H14" s="783">
        <f t="shared" si="5"/>
        <v>-1.7267839141692231E-2</v>
      </c>
      <c r="I14" s="631"/>
      <c r="J14" s="632">
        <f t="shared" si="6"/>
        <v>0.83618528420553462</v>
      </c>
      <c r="K14" s="558">
        <f>LN(C14/C13)-LN(F14/F13)</f>
        <v>-6.9476054988946462E-2</v>
      </c>
      <c r="L14" s="631"/>
      <c r="M14" s="632">
        <f t="shared" si="6"/>
        <v>1.0440713527384942</v>
      </c>
      <c r="N14" s="558">
        <f t="shared" si="2"/>
        <v>2.4090650254961359E-2</v>
      </c>
      <c r="O14" s="631"/>
      <c r="P14" s="634">
        <f>'Table 1'!P13</f>
        <v>0.11115318280774955</v>
      </c>
      <c r="Q14" s="634">
        <f t="shared" si="3"/>
        <v>0.88884681719225045</v>
      </c>
      <c r="R14" s="558">
        <f>AVERAGE(P13:P14)*K14+AVERAGE(Q13:Q14)*N14</f>
        <v>1.5266123707964707E-2</v>
      </c>
      <c r="S14" s="38"/>
      <c r="V14" s="744"/>
    </row>
    <row r="15" spans="1:22" ht="15" x14ac:dyDescent="0.25">
      <c r="A15" s="38"/>
      <c r="B15" s="563">
        <v>2007</v>
      </c>
      <c r="C15" s="629">
        <f>'OPG TFP'!D94</f>
        <v>6450.4125301115737</v>
      </c>
      <c r="D15" s="629">
        <f>'OPG TFP'!H94</f>
        <v>152639.65153788275</v>
      </c>
      <c r="E15" s="630">
        <f>'Table 1'!F14</f>
        <v>1.1354504219317154</v>
      </c>
      <c r="F15" s="629">
        <f t="shared" si="0"/>
        <v>134430.92590357267</v>
      </c>
      <c r="G15" s="629">
        <f>'OPG TFP 1HS'!AD94</f>
        <v>34025768.255581699</v>
      </c>
      <c r="H15" s="783">
        <f t="shared" si="5"/>
        <v>1.4825208588503222E-3</v>
      </c>
      <c r="I15" s="631"/>
      <c r="J15" s="632">
        <f t="shared" si="6"/>
        <v>0.819986548838329</v>
      </c>
      <c r="K15" s="558">
        <f t="shared" si="1"/>
        <v>-1.9562284084741522E-2</v>
      </c>
      <c r="L15" s="631"/>
      <c r="M15" s="632">
        <f t="shared" si="6"/>
        <v>1.0424947316890316</v>
      </c>
      <c r="N15" s="558">
        <f t="shared" si="2"/>
        <v>-1.5112115176041097E-3</v>
      </c>
      <c r="O15" s="631"/>
      <c r="P15" s="634">
        <f>'Table 1'!P14</f>
        <v>0.11966019842657027</v>
      </c>
      <c r="Q15" s="634">
        <f t="shared" si="3"/>
        <v>0.88033980157342973</v>
      </c>
      <c r="R15" s="558">
        <f t="shared" si="4"/>
        <v>-3.5944260646676397E-3</v>
      </c>
      <c r="S15" s="38"/>
      <c r="T15" s="38"/>
      <c r="V15" s="744"/>
    </row>
    <row r="16" spans="1:22" ht="15" x14ac:dyDescent="0.25">
      <c r="A16" s="38"/>
      <c r="B16" s="563">
        <v>2008</v>
      </c>
      <c r="C16" s="629">
        <f>'OPG TFP'!D95</f>
        <v>6476.6460948233753</v>
      </c>
      <c r="D16" s="629">
        <f>'OPG TFP'!H95</f>
        <v>171873.27697871608</v>
      </c>
      <c r="E16" s="630">
        <f>'Table 1'!F15</f>
        <v>1.1628231376944895</v>
      </c>
      <c r="F16" s="629">
        <f t="shared" si="0"/>
        <v>147806.89462327558</v>
      </c>
      <c r="G16" s="629">
        <f>'OPG TFP 1HS'!AD95</f>
        <v>33978568.420846321</v>
      </c>
      <c r="H16" s="783">
        <f t="shared" si="5"/>
        <v>-1.388142128030044E-3</v>
      </c>
      <c r="I16" s="631"/>
      <c r="J16" s="632">
        <f t="shared" si="6"/>
        <v>0.74881390677702286</v>
      </c>
      <c r="K16" s="558">
        <f t="shared" si="1"/>
        <v>-9.0797439192435131E-2</v>
      </c>
      <c r="L16" s="631"/>
      <c r="M16" s="632">
        <f t="shared" si="6"/>
        <v>1.0481885404906635</v>
      </c>
      <c r="N16" s="558">
        <f t="shared" si="2"/>
        <v>5.4468536238717067E-3</v>
      </c>
      <c r="O16" s="631"/>
      <c r="P16" s="634">
        <f>'Table 1'!P15</f>
        <v>0.11496701450448499</v>
      </c>
      <c r="Q16" s="634">
        <f t="shared" si="3"/>
        <v>0.88503298549551501</v>
      </c>
      <c r="R16" s="558">
        <f t="shared" si="4"/>
        <v>-5.8439114681335209E-3</v>
      </c>
      <c r="S16" s="38"/>
      <c r="T16" s="38"/>
      <c r="V16" s="744"/>
    </row>
    <row r="17" spans="1:22" ht="15" x14ac:dyDescent="0.25">
      <c r="A17" s="38"/>
      <c r="B17" s="563">
        <v>2009</v>
      </c>
      <c r="C17" s="629">
        <f>'OPG TFP'!D96</f>
        <v>6389.7218490268178</v>
      </c>
      <c r="D17" s="629">
        <f>'OPG TFP'!H96</f>
        <v>171278.64600485316</v>
      </c>
      <c r="E17" s="630">
        <f>'Table 1'!F16</f>
        <v>1.177420350781766</v>
      </c>
      <c r="F17" s="629">
        <f t="shared" si="0"/>
        <v>145469.41191489523</v>
      </c>
      <c r="G17" s="629">
        <f>'OPG TFP 1HS'!AD96</f>
        <v>33766723.627480462</v>
      </c>
      <c r="H17" s="783">
        <f t="shared" si="5"/>
        <v>-6.2541758247943932E-3</v>
      </c>
      <c r="I17" s="631"/>
      <c r="J17" s="632">
        <f t="shared" si="6"/>
        <v>0.75063480532802807</v>
      </c>
      <c r="K17" s="558">
        <f t="shared" si="1"/>
        <v>2.4287585582731634E-3</v>
      </c>
      <c r="L17" s="631"/>
      <c r="M17" s="632">
        <f t="shared" si="6"/>
        <v>1.0406084503723672</v>
      </c>
      <c r="N17" s="558">
        <f t="shared" si="2"/>
        <v>-7.2578842520857265E-3</v>
      </c>
      <c r="O17" s="631"/>
      <c r="P17" s="634">
        <f>'Table 1'!P16</f>
        <v>0.13862322154371753</v>
      </c>
      <c r="Q17" s="634">
        <f t="shared" si="3"/>
        <v>0.86137677845628247</v>
      </c>
      <c r="R17" s="558">
        <f t="shared" si="4"/>
        <v>-6.0296652336889588E-3</v>
      </c>
      <c r="S17" s="38"/>
      <c r="T17" s="38"/>
      <c r="V17" s="744"/>
    </row>
    <row r="18" spans="1:22" ht="15" x14ac:dyDescent="0.25">
      <c r="A18" s="38"/>
      <c r="B18" s="563">
        <v>2010</v>
      </c>
      <c r="C18" s="629">
        <f>'OPG TFP'!D97</f>
        <v>6390.0429441575052</v>
      </c>
      <c r="D18" s="629">
        <f>'OPG TFP'!H97</f>
        <v>170905.07032024057</v>
      </c>
      <c r="E18" s="630">
        <f>'Table 1'!F17</f>
        <v>1.2104167536102524</v>
      </c>
      <c r="F18" s="629">
        <f t="shared" si="0"/>
        <v>141195.22867680917</v>
      </c>
      <c r="G18" s="629">
        <f>'OPG TFP 1HS'!AD97</f>
        <v>33543807.911868881</v>
      </c>
      <c r="H18" s="783">
        <f t="shared" si="5"/>
        <v>-6.6235260805736738E-3</v>
      </c>
      <c r="I18" s="631"/>
      <c r="J18" s="632">
        <f t="shared" si="6"/>
        <v>0.77339646625755631</v>
      </c>
      <c r="K18" s="558">
        <f t="shared" si="1"/>
        <v>2.9872554428211094E-2</v>
      </c>
      <c r="L18" s="631"/>
      <c r="M18" s="632">
        <f t="shared" si="6"/>
        <v>1.0475764643561971</v>
      </c>
      <c r="N18" s="558">
        <f t="shared" si="2"/>
        <v>6.6737766346255303E-3</v>
      </c>
      <c r="O18" s="631"/>
      <c r="P18" s="634">
        <f>'Table 1'!P17</f>
        <v>0.16403664934200413</v>
      </c>
      <c r="Q18" s="634">
        <f t="shared" si="3"/>
        <v>0.83596335065799587</v>
      </c>
      <c r="R18" s="558">
        <f t="shared" si="4"/>
        <v>1.0184446180482108E-2</v>
      </c>
      <c r="S18" s="38"/>
      <c r="T18" s="38"/>
      <c r="V18" s="744"/>
    </row>
    <row r="19" spans="1:22" ht="15" x14ac:dyDescent="0.25">
      <c r="A19" s="38"/>
      <c r="B19" s="563">
        <v>2011</v>
      </c>
      <c r="C19" s="629">
        <f>'OPG TFP'!D98</f>
        <v>6422</v>
      </c>
      <c r="D19" s="629">
        <f>'OPG TFP'!H98</f>
        <v>174610.63867432124</v>
      </c>
      <c r="E19" s="630">
        <f>'Table 1'!F18</f>
        <v>1.2315008058407915</v>
      </c>
      <c r="F19" s="629">
        <f t="shared" si="0"/>
        <v>141786.86513737848</v>
      </c>
      <c r="G19" s="629">
        <f>'OPG TFP 1HS'!AD98</f>
        <v>33511074.440363429</v>
      </c>
      <c r="H19" s="783">
        <f t="shared" si="5"/>
        <v>-9.7631888856742743E-4</v>
      </c>
      <c r="I19" s="631"/>
      <c r="J19" s="632">
        <f t="shared" si="6"/>
        <v>0.77402097273044856</v>
      </c>
      <c r="K19" s="558">
        <f t="shared" si="1"/>
        <v>8.0715971148214837E-4</v>
      </c>
      <c r="L19" s="631"/>
      <c r="M19" s="632">
        <f t="shared" si="6"/>
        <v>1.0538438537660082</v>
      </c>
      <c r="N19" s="558">
        <f t="shared" si="2"/>
        <v>5.96492566359771E-3</v>
      </c>
      <c r="O19" s="631"/>
      <c r="P19" s="634">
        <f>'Table 1'!P18</f>
        <v>0.15880315459722183</v>
      </c>
      <c r="Q19" s="634">
        <f t="shared" si="3"/>
        <v>0.84119684540277817</v>
      </c>
      <c r="R19" s="558">
        <f t="shared" si="4"/>
        <v>5.1323595892250086E-3</v>
      </c>
      <c r="S19" s="38"/>
      <c r="T19" s="38"/>
      <c r="V19" s="744"/>
    </row>
    <row r="20" spans="1:22" ht="15" x14ac:dyDescent="0.25">
      <c r="A20" s="38"/>
      <c r="B20" s="563">
        <v>2012</v>
      </c>
      <c r="C20" s="629">
        <f>'OPG TFP'!D99</f>
        <v>6422</v>
      </c>
      <c r="D20" s="629">
        <f>'OPG TFP'!H99</f>
        <v>178134.19656786445</v>
      </c>
      <c r="E20" s="630">
        <f>'Table 1'!F19</f>
        <v>1.2501652753742629</v>
      </c>
      <c r="F20" s="629">
        <f t="shared" si="0"/>
        <v>142488.51737986106</v>
      </c>
      <c r="G20" s="629">
        <f>'OPG TFP 1HS'!AD99</f>
        <v>33562454.149099588</v>
      </c>
      <c r="H20" s="783">
        <f t="shared" si="5"/>
        <v>1.5320416225692215E-3</v>
      </c>
      <c r="I20" s="631"/>
      <c r="J20" s="632">
        <f t="shared" si="6"/>
        <v>0.77020948278563406</v>
      </c>
      <c r="K20" s="558">
        <f t="shared" si="1"/>
        <v>-4.936436360506012E-3</v>
      </c>
      <c r="L20" s="631"/>
      <c r="M20" s="632">
        <f t="shared" si="6"/>
        <v>1.0522305572526083</v>
      </c>
      <c r="N20" s="558">
        <f t="shared" si="2"/>
        <v>-1.5320416225692215E-3</v>
      </c>
      <c r="O20" s="631"/>
      <c r="P20" s="634">
        <f>'Table 1'!P19</f>
        <v>0.18913054570135601</v>
      </c>
      <c r="Q20" s="634">
        <f t="shared" si="3"/>
        <v>0.81086945429864399</v>
      </c>
      <c r="R20" s="558">
        <f t="shared" si="4"/>
        <v>-2.1242934517928989E-3</v>
      </c>
      <c r="S20" s="38"/>
      <c r="T20" s="38"/>
      <c r="V20" s="744"/>
    </row>
    <row r="21" spans="1:22" ht="15" x14ac:dyDescent="0.25">
      <c r="A21" s="38"/>
      <c r="B21" s="563">
        <v>2013</v>
      </c>
      <c r="C21" s="629">
        <f>'OPG TFP'!D100</f>
        <v>6433</v>
      </c>
      <c r="D21" s="629">
        <f>'OPG TFP'!H100</f>
        <v>182583.69005</v>
      </c>
      <c r="E21" s="630">
        <f>'Table 1'!F20</f>
        <v>1.2704232442229755</v>
      </c>
      <c r="F21" s="629">
        <f t="shared" si="0"/>
        <v>143718.78889989379</v>
      </c>
      <c r="G21" s="629">
        <f>'OPG TFP 1HS'!AD100</f>
        <v>33395313.394621667</v>
      </c>
      <c r="H21" s="783">
        <f t="shared" si="5"/>
        <v>-4.9924335223827197E-3</v>
      </c>
      <c r="I21" s="631"/>
      <c r="J21" s="632">
        <f t="shared" si="6"/>
        <v>0.76492425162414024</v>
      </c>
      <c r="K21" s="558">
        <f t="shared" si="1"/>
        <v>-6.8857219738861662E-3</v>
      </c>
      <c r="L21" s="631"/>
      <c r="M21" s="632">
        <f t="shared" si="6"/>
        <v>1.0593082295783731</v>
      </c>
      <c r="N21" s="558">
        <f t="shared" si="2"/>
        <v>6.7038302839237422E-3</v>
      </c>
      <c r="O21" s="631"/>
      <c r="P21" s="634">
        <f>'Table 1'!P20</f>
        <v>0.16200839397751665</v>
      </c>
      <c r="Q21" s="634">
        <f t="shared" si="3"/>
        <v>0.83799160602248335</v>
      </c>
      <c r="R21" s="558">
        <f t="shared" si="4"/>
        <v>4.3179197986647419E-3</v>
      </c>
      <c r="S21" s="38"/>
      <c r="T21" s="38"/>
      <c r="V21" s="744"/>
    </row>
    <row r="22" spans="1:22" ht="15" x14ac:dyDescent="0.25">
      <c r="A22" s="38"/>
      <c r="B22" s="563">
        <v>2014</v>
      </c>
      <c r="C22" s="629">
        <f>'OPG TFP'!D101</f>
        <v>6433</v>
      </c>
      <c r="D22" s="629">
        <f>'OPG TFP'!H101</f>
        <v>188019.67078964785</v>
      </c>
      <c r="E22" s="630">
        <f>'Table 1'!F21</f>
        <v>1.296459337573129</v>
      </c>
      <c r="F22" s="629">
        <f t="shared" si="0"/>
        <v>145025.50549838765</v>
      </c>
      <c r="G22" s="629">
        <f>'OPG TFP 1HS'!AD101</f>
        <v>35639377.363644451</v>
      </c>
      <c r="H22" s="783">
        <f t="shared" si="5"/>
        <v>6.5035559683191843E-2</v>
      </c>
      <c r="I22" s="631"/>
      <c r="J22" s="632">
        <f t="shared" si="6"/>
        <v>0.75803209005054129</v>
      </c>
      <c r="K22" s="558">
        <f t="shared" si="1"/>
        <v>-9.0510915339075994E-3</v>
      </c>
      <c r="L22" s="631"/>
      <c r="M22" s="632">
        <f t="shared" si="6"/>
        <v>0.99260797817299729</v>
      </c>
      <c r="N22" s="558">
        <f t="shared" si="2"/>
        <v>-6.5035559683191843E-2</v>
      </c>
      <c r="O22" s="631"/>
      <c r="P22" s="634">
        <f>'Table 1'!P21</f>
        <v>0.14351649712175141</v>
      </c>
      <c r="Q22" s="634">
        <f t="shared" si="3"/>
        <v>0.85648350287824859</v>
      </c>
      <c r="R22" s="558">
        <f t="shared" si="4"/>
        <v>-5.648323541591159E-2</v>
      </c>
      <c r="S22" s="38"/>
      <c r="T22" s="38"/>
      <c r="V22" s="744"/>
    </row>
    <row r="23" spans="1:22" ht="15" x14ac:dyDescent="0.25">
      <c r="A23" s="38"/>
      <c r="B23" s="563">
        <v>2015</v>
      </c>
      <c r="C23" s="629"/>
      <c r="D23" s="629"/>
      <c r="E23" s="630"/>
      <c r="F23" s="629"/>
      <c r="G23" s="629">
        <f>'OPG TFP 1HS'!AD102</f>
        <v>34209627.601354621</v>
      </c>
      <c r="H23" s="783">
        <f t="shared" si="5"/>
        <v>-4.0944019030196677E-2</v>
      </c>
      <c r="I23" s="631"/>
      <c r="J23" s="632"/>
      <c r="K23" s="558"/>
      <c r="L23" s="631"/>
      <c r="M23" s="632"/>
      <c r="N23" s="558"/>
      <c r="O23" s="631"/>
      <c r="P23" s="634"/>
      <c r="Q23" s="634"/>
      <c r="R23" s="558"/>
      <c r="S23" s="38"/>
      <c r="T23" s="38"/>
    </row>
    <row r="24" spans="1:22" ht="15" x14ac:dyDescent="0.25">
      <c r="A24" s="38"/>
      <c r="B24" s="562"/>
      <c r="C24" s="562"/>
      <c r="D24" s="562"/>
      <c r="E24" s="635"/>
      <c r="F24" s="621"/>
      <c r="G24" s="621"/>
      <c r="H24" s="784"/>
      <c r="I24" s="636"/>
      <c r="J24" s="562"/>
      <c r="K24" s="562"/>
      <c r="L24" s="636"/>
      <c r="M24" s="562"/>
      <c r="N24" s="562"/>
      <c r="O24" s="636"/>
      <c r="P24" s="563"/>
      <c r="Q24" s="563"/>
      <c r="R24" s="562"/>
      <c r="S24" s="38"/>
      <c r="T24" s="38"/>
    </row>
    <row r="25" spans="1:22" ht="15" x14ac:dyDescent="0.25">
      <c r="A25" s="38"/>
      <c r="B25" s="560" t="s">
        <v>672</v>
      </c>
      <c r="C25" s="560"/>
      <c r="D25" s="560"/>
      <c r="E25" s="637"/>
      <c r="F25" s="637"/>
      <c r="G25" s="638"/>
      <c r="H25" s="785"/>
      <c r="I25" s="639"/>
      <c r="J25" s="637"/>
      <c r="K25" s="637"/>
      <c r="L25" s="639"/>
      <c r="M25" s="637"/>
      <c r="N25" s="637"/>
      <c r="O25" s="639"/>
      <c r="P25" s="637"/>
      <c r="Q25" s="637"/>
      <c r="R25" s="637"/>
      <c r="S25" s="38"/>
      <c r="T25" s="38"/>
      <c r="U25" s="472"/>
      <c r="V25" s="38"/>
    </row>
    <row r="26" spans="1:22" ht="15" x14ac:dyDescent="0.25">
      <c r="A26" s="38"/>
      <c r="B26" s="560"/>
      <c r="C26" s="560"/>
      <c r="D26" s="560"/>
      <c r="E26" s="637"/>
      <c r="F26" s="637"/>
      <c r="G26" s="638"/>
      <c r="H26" s="785"/>
      <c r="I26" s="639"/>
      <c r="J26" s="637"/>
      <c r="K26" s="637"/>
      <c r="L26" s="639"/>
      <c r="M26" s="637"/>
      <c r="N26" s="637"/>
      <c r="O26" s="639"/>
      <c r="P26" s="637"/>
      <c r="Q26" s="637"/>
      <c r="R26" s="637"/>
      <c r="S26" s="38"/>
      <c r="T26" s="38"/>
      <c r="U26" s="38"/>
      <c r="V26" s="38"/>
    </row>
    <row r="27" spans="1:22" ht="15" x14ac:dyDescent="0.25">
      <c r="A27" s="38"/>
      <c r="B27" s="637" t="s">
        <v>638</v>
      </c>
      <c r="C27" s="561">
        <f>LN(C22/C10)/12</f>
        <v>6.4357413442412586E-4</v>
      </c>
      <c r="D27" s="561">
        <f>LN(D22/D10)/12</f>
        <v>4.5365784247109887E-2</v>
      </c>
      <c r="E27" s="561">
        <f>LN(E22/E10)/12</f>
        <v>2.1636413522948438E-2</v>
      </c>
      <c r="F27" s="561">
        <f>LN(F22/F10)/12</f>
        <v>2.3729370724161456E-2</v>
      </c>
      <c r="G27" s="561">
        <f>LN(G22/G10)/12</f>
        <v>1.2618639852140234E-3</v>
      </c>
      <c r="H27" s="786"/>
      <c r="I27" s="640"/>
      <c r="J27" s="561"/>
      <c r="K27" s="561">
        <f>AVERAGE(K11:K22)</f>
        <v>-2.308579658973732E-2</v>
      </c>
      <c r="L27" s="640"/>
      <c r="M27" s="561"/>
      <c r="N27" s="561">
        <f>AVERAGE(N11:N22)</f>
        <v>-6.1828985078991178E-4</v>
      </c>
      <c r="O27" s="640"/>
      <c r="P27" s="641">
        <f>AVERAGE(P11:P22)</f>
        <v>0.12616471774604596</v>
      </c>
      <c r="Q27" s="641">
        <f>AVERAGE(Q11:Q22)</f>
        <v>0.87383528225395402</v>
      </c>
      <c r="R27" s="642">
        <f>AVERAGE(R11:R22)</f>
        <v>-2.3676636948875931E-3</v>
      </c>
      <c r="S27" s="789" t="s">
        <v>874</v>
      </c>
      <c r="T27" s="38"/>
      <c r="U27" s="642"/>
      <c r="V27" s="38"/>
    </row>
    <row r="28" spans="1:22" ht="15" x14ac:dyDescent="0.25">
      <c r="A28" s="38"/>
      <c r="B28" s="637" t="s">
        <v>673</v>
      </c>
      <c r="C28" s="561">
        <f>LN(C21/C10)/11</f>
        <v>7.020808739172283E-4</v>
      </c>
      <c r="D28" s="561">
        <f>LN(D21/D10)/11</f>
        <v>4.6822860479490198E-2</v>
      </c>
      <c r="E28" s="561">
        <f>LN(E21/E10)/11</f>
        <v>2.1759100738032951E-2</v>
      </c>
      <c r="F28" s="561">
        <f>LN(F21/F10)/11</f>
        <v>2.5063759741457251E-2</v>
      </c>
      <c r="G28" s="561">
        <f>LN(G21/G10)/11</f>
        <v>-4.5357447146021357E-3</v>
      </c>
      <c r="H28" s="786"/>
      <c r="I28" s="640"/>
      <c r="J28" s="561"/>
      <c r="K28" s="561">
        <f>AVERAGE(K11:K21)</f>
        <v>-2.4361678867540024E-2</v>
      </c>
      <c r="L28" s="640"/>
      <c r="M28" s="561"/>
      <c r="N28" s="561">
        <f>AVERAGE(N11:N21)</f>
        <v>5.2378255885193545E-3</v>
      </c>
      <c r="O28" s="640"/>
      <c r="P28" s="641">
        <f>AVERAGE(P11:P21)</f>
        <v>0.12458728325734546</v>
      </c>
      <c r="Q28" s="641">
        <f>AVERAGE(Q11:Q21)</f>
        <v>0.87541271674265453</v>
      </c>
      <c r="R28" s="642">
        <f>AVERAGE(R11:R21)</f>
        <v>2.5519337342964064E-3</v>
      </c>
      <c r="S28" s="778"/>
      <c r="T28" s="38"/>
      <c r="U28" s="642"/>
      <c r="V28" s="38"/>
    </row>
    <row r="29" spans="1:22" ht="15" x14ac:dyDescent="0.25">
      <c r="A29" s="38"/>
      <c r="B29" s="562"/>
      <c r="C29" s="479"/>
      <c r="D29" s="563"/>
      <c r="E29" s="563"/>
      <c r="F29" s="643"/>
      <c r="G29" s="643"/>
      <c r="H29" s="780"/>
      <c r="I29" s="644"/>
      <c r="J29" s="563"/>
      <c r="K29" s="563"/>
      <c r="L29" s="644"/>
      <c r="M29" s="563"/>
      <c r="N29" s="563"/>
      <c r="O29" s="644"/>
      <c r="P29" s="563"/>
      <c r="Q29" s="563"/>
      <c r="R29" s="563"/>
      <c r="S29" s="350"/>
      <c r="T29" s="38"/>
    </row>
    <row r="30" spans="1:22" ht="17.25" x14ac:dyDescent="0.25">
      <c r="A30" s="38"/>
      <c r="B30" s="562" t="s">
        <v>798</v>
      </c>
      <c r="C30" s="562"/>
      <c r="D30" s="562"/>
      <c r="E30" s="562"/>
      <c r="F30" s="562"/>
      <c r="G30" s="562"/>
      <c r="H30" s="787"/>
      <c r="I30" s="622"/>
      <c r="J30" s="562"/>
      <c r="K30" s="562"/>
      <c r="L30" s="622"/>
      <c r="M30" s="562"/>
      <c r="N30" s="562"/>
      <c r="O30" s="622"/>
      <c r="P30" s="562"/>
      <c r="Q30" s="562"/>
      <c r="R30" s="562"/>
      <c r="S30" s="38"/>
      <c r="T30" s="38"/>
    </row>
    <row r="31" spans="1:22" x14ac:dyDescent="0.2">
      <c r="E31" s="472"/>
      <c r="H31" s="788"/>
    </row>
    <row r="32" spans="1:22" x14ac:dyDescent="0.2">
      <c r="E32" s="472"/>
      <c r="H32" s="788"/>
    </row>
    <row r="33" spans="2:18" x14ac:dyDescent="0.2">
      <c r="B33" t="s">
        <v>299</v>
      </c>
      <c r="C33" t="s">
        <v>813</v>
      </c>
      <c r="D33" t="s">
        <v>813</v>
      </c>
      <c r="E33" s="472" t="s">
        <v>680</v>
      </c>
      <c r="F33" s="472" t="s">
        <v>810</v>
      </c>
      <c r="G33" t="s">
        <v>813</v>
      </c>
      <c r="H33" s="788"/>
      <c r="J33" s="461" t="s">
        <v>814</v>
      </c>
      <c r="K33" s="461" t="s">
        <v>816</v>
      </c>
      <c r="N33" s="461" t="s">
        <v>816</v>
      </c>
      <c r="P33" t="s">
        <v>680</v>
      </c>
      <c r="Q33" t="str">
        <f>P33</f>
        <v>Table 1</v>
      </c>
      <c r="R33" t="s">
        <v>820</v>
      </c>
    </row>
    <row r="34" spans="2:18" x14ac:dyDescent="0.2">
      <c r="E34" s="472"/>
      <c r="H34" s="788"/>
      <c r="J34" t="s">
        <v>815</v>
      </c>
      <c r="K34" t="s">
        <v>817</v>
      </c>
      <c r="N34" t="s">
        <v>817</v>
      </c>
      <c r="R34" t="s">
        <v>821</v>
      </c>
    </row>
    <row r="35" spans="2:18" ht="29.25" customHeight="1" x14ac:dyDescent="0.2">
      <c r="E35" s="472"/>
      <c r="H35" s="788"/>
      <c r="K35" s="663" t="s">
        <v>818</v>
      </c>
      <c r="N35" s="663" t="s">
        <v>819</v>
      </c>
    </row>
    <row r="36" spans="2:18" x14ac:dyDescent="0.2">
      <c r="E36" s="472"/>
      <c r="H36" s="788"/>
    </row>
    <row r="37" spans="2:18" x14ac:dyDescent="0.2">
      <c r="E37" s="472"/>
      <c r="H37" s="788"/>
    </row>
    <row r="38" spans="2:18" x14ac:dyDescent="0.2">
      <c r="H38" s="788"/>
    </row>
    <row r="39" spans="2:18" x14ac:dyDescent="0.2">
      <c r="H39" s="788"/>
    </row>
  </sheetData>
  <mergeCells count="7">
    <mergeCell ref="A1:R1"/>
    <mergeCell ref="C3:R3"/>
    <mergeCell ref="F6:G6"/>
    <mergeCell ref="J6:K6"/>
    <mergeCell ref="M6:N6"/>
    <mergeCell ref="P6:Q6"/>
    <mergeCell ref="B4:R4"/>
  </mergeCells>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3"/>
  <sheetViews>
    <sheetView workbookViewId="0">
      <selection activeCell="I82" sqref="I82"/>
    </sheetView>
  </sheetViews>
  <sheetFormatPr defaultColWidth="8.85546875" defaultRowHeight="12.75" x14ac:dyDescent="0.2"/>
  <cols>
    <col min="1" max="1" width="25.28515625" customWidth="1"/>
    <col min="2" max="2" width="16.28515625" customWidth="1"/>
    <col min="3" max="3" width="15" style="662" customWidth="1"/>
    <col min="4" max="6" width="14" customWidth="1"/>
    <col min="7" max="7" width="17.85546875" customWidth="1"/>
    <col min="8" max="8" width="14" customWidth="1"/>
    <col min="9" max="9" width="19.140625" customWidth="1"/>
    <col min="10" max="10" width="14" customWidth="1"/>
    <col min="11" max="11" width="17.42578125" customWidth="1"/>
    <col min="12" max="12" width="14" customWidth="1"/>
    <col min="13" max="13" width="17.140625" customWidth="1"/>
    <col min="14" max="15" width="19.7109375" customWidth="1"/>
    <col min="16" max="16" width="14" customWidth="1"/>
    <col min="17" max="17" width="17" customWidth="1"/>
    <col min="18" max="18" width="14" customWidth="1"/>
    <col min="19" max="22" width="14" hidden="1" customWidth="1"/>
    <col min="23" max="23" width="18" customWidth="1"/>
    <col min="24" max="24" width="17" style="444" customWidth="1"/>
    <col min="25" max="27" width="14" hidden="1" customWidth="1"/>
    <col min="28" max="28" width="14" customWidth="1"/>
    <col min="29" max="29" width="14" hidden="1" customWidth="1"/>
    <col min="30" max="30" width="14" customWidth="1"/>
    <col min="31" max="31" width="17.42578125" hidden="1" customWidth="1"/>
    <col min="32" max="32" width="14" hidden="1" customWidth="1"/>
    <col min="33" max="33" width="18.28515625" hidden="1" customWidth="1"/>
    <col min="34" max="34" width="9.28515625" customWidth="1"/>
    <col min="35" max="35" width="13" customWidth="1"/>
  </cols>
  <sheetData>
    <row r="1" spans="2:33" ht="18" x14ac:dyDescent="0.25">
      <c r="B1" s="459" t="s">
        <v>699</v>
      </c>
    </row>
    <row r="2" spans="2:33" ht="13.5" thickBot="1" x14ac:dyDescent="0.25"/>
    <row r="3" spans="2:33" x14ac:dyDescent="0.2">
      <c r="B3" s="672" t="s">
        <v>299</v>
      </c>
      <c r="C3" s="673" t="s">
        <v>704</v>
      </c>
      <c r="D3" s="519" t="s">
        <v>828</v>
      </c>
      <c r="E3" s="519" t="s">
        <v>827</v>
      </c>
      <c r="F3" s="519" t="s">
        <v>827</v>
      </c>
      <c r="G3" s="519" t="s">
        <v>827</v>
      </c>
      <c r="H3" s="519" t="s">
        <v>828</v>
      </c>
      <c r="I3" s="519" t="s">
        <v>828</v>
      </c>
      <c r="J3" s="519" t="s">
        <v>827</v>
      </c>
      <c r="K3" s="519" t="s">
        <v>828</v>
      </c>
      <c r="L3" s="519" t="s">
        <v>827</v>
      </c>
      <c r="M3" s="519"/>
      <c r="N3" s="519"/>
      <c r="O3" s="519"/>
      <c r="P3" s="519" t="s">
        <v>827</v>
      </c>
      <c r="Q3" s="519" t="s">
        <v>827</v>
      </c>
      <c r="R3" s="519" t="s">
        <v>829</v>
      </c>
      <c r="S3" s="499"/>
      <c r="T3" s="499"/>
      <c r="U3" s="499"/>
      <c r="V3" s="499"/>
      <c r="W3" s="516" t="s">
        <v>828</v>
      </c>
      <c r="X3" s="674"/>
      <c r="Y3" s="499"/>
      <c r="Z3" s="499"/>
      <c r="AA3" s="499"/>
      <c r="AB3" s="516" t="s">
        <v>828</v>
      </c>
      <c r="AC3" s="499"/>
      <c r="AD3" s="163" t="s">
        <v>828</v>
      </c>
    </row>
    <row r="4" spans="2:33" ht="13.5" thickBot="1" x14ac:dyDescent="0.25">
      <c r="B4" s="170"/>
      <c r="C4" s="675" t="s">
        <v>31</v>
      </c>
      <c r="D4" s="676" t="s">
        <v>828</v>
      </c>
      <c r="E4" s="676" t="s">
        <v>830</v>
      </c>
      <c r="F4" s="676" t="s">
        <v>830</v>
      </c>
      <c r="G4" s="676" t="s">
        <v>831</v>
      </c>
      <c r="H4" s="676" t="s">
        <v>828</v>
      </c>
      <c r="I4" s="676" t="s">
        <v>31</v>
      </c>
      <c r="J4" s="676" t="s">
        <v>828</v>
      </c>
      <c r="K4" s="676" t="s">
        <v>828</v>
      </c>
      <c r="L4" s="676" t="s">
        <v>31</v>
      </c>
      <c r="M4" s="676"/>
      <c r="N4" s="676"/>
      <c r="O4" s="676"/>
      <c r="P4" s="596"/>
      <c r="Q4" s="596"/>
      <c r="R4" s="676" t="s">
        <v>111</v>
      </c>
      <c r="S4" s="596"/>
      <c r="T4" s="596"/>
      <c r="U4" s="596"/>
      <c r="V4" s="596"/>
      <c r="W4" s="505" t="s">
        <v>31</v>
      </c>
      <c r="X4" s="677"/>
      <c r="Y4" s="596"/>
      <c r="Z4" s="596"/>
      <c r="AA4" s="596"/>
      <c r="AB4" s="505" t="s">
        <v>828</v>
      </c>
      <c r="AC4" s="596"/>
      <c r="AD4" s="678" t="s">
        <v>828</v>
      </c>
    </row>
    <row r="5" spans="2:33" x14ac:dyDescent="0.2">
      <c r="E5" s="350"/>
      <c r="F5" s="350"/>
      <c r="G5" s="350"/>
    </row>
    <row r="6" spans="2:33" x14ac:dyDescent="0.2">
      <c r="D6" s="572"/>
      <c r="J6" s="18"/>
      <c r="Y6" s="18"/>
      <c r="Z6" s="18"/>
      <c r="AA6" s="18"/>
      <c r="AB6" s="18"/>
      <c r="AC6" s="18"/>
      <c r="AD6" s="18"/>
    </row>
    <row r="7" spans="2:33" x14ac:dyDescent="0.2">
      <c r="D7" s="573" t="s">
        <v>594</v>
      </c>
      <c r="E7" s="542" t="s">
        <v>24</v>
      </c>
      <c r="F7" s="573" t="s">
        <v>767</v>
      </c>
      <c r="X7" s="535" t="s">
        <v>700</v>
      </c>
    </row>
    <row r="8" spans="2:33" x14ac:dyDescent="0.2">
      <c r="D8" s="573" t="s">
        <v>774</v>
      </c>
      <c r="E8" s="542" t="s">
        <v>18</v>
      </c>
      <c r="F8" s="573" t="s">
        <v>18</v>
      </c>
      <c r="G8" s="460" t="s">
        <v>21</v>
      </c>
      <c r="J8" s="460" t="s">
        <v>595</v>
      </c>
      <c r="K8" s="460" t="s">
        <v>700</v>
      </c>
      <c r="L8" s="460" t="s">
        <v>700</v>
      </c>
      <c r="M8" s="460" t="s">
        <v>700</v>
      </c>
      <c r="N8" s="460" t="s">
        <v>864</v>
      </c>
      <c r="O8" s="460" t="s">
        <v>866</v>
      </c>
      <c r="P8" s="460" t="s">
        <v>700</v>
      </c>
      <c r="Q8" s="460" t="s">
        <v>700</v>
      </c>
      <c r="X8" s="535" t="s">
        <v>736</v>
      </c>
      <c r="Y8" s="662" t="s">
        <v>746</v>
      </c>
      <c r="Z8" s="662" t="s">
        <v>768</v>
      </c>
      <c r="AA8" s="662" t="s">
        <v>749</v>
      </c>
      <c r="AC8" t="s">
        <v>743</v>
      </c>
    </row>
    <row r="9" spans="2:33" s="662" customFormat="1" x14ac:dyDescent="0.2">
      <c r="D9" s="574" t="str">
        <f>E7</f>
        <v>MCR</v>
      </c>
      <c r="E9" s="575" t="s">
        <v>594</v>
      </c>
      <c r="F9" s="574" t="s">
        <v>594</v>
      </c>
      <c r="G9" s="662" t="s">
        <v>597</v>
      </c>
      <c r="H9" s="662" t="s">
        <v>593</v>
      </c>
      <c r="I9" s="662" t="s">
        <v>593</v>
      </c>
      <c r="J9" s="662" t="s">
        <v>601</v>
      </c>
      <c r="K9" s="662" t="s">
        <v>598</v>
      </c>
      <c r="L9" s="662" t="s">
        <v>598</v>
      </c>
      <c r="M9" s="662" t="s">
        <v>863</v>
      </c>
      <c r="N9" s="662" t="s">
        <v>865</v>
      </c>
      <c r="O9" s="662" t="s">
        <v>867</v>
      </c>
      <c r="P9" s="662" t="s">
        <v>599</v>
      </c>
      <c r="Q9" s="460" t="s">
        <v>701</v>
      </c>
      <c r="R9" s="460" t="s">
        <v>602</v>
      </c>
      <c r="S9" s="460"/>
      <c r="T9" s="542" t="s">
        <v>698</v>
      </c>
      <c r="U9" s="542"/>
      <c r="V9" s="542"/>
      <c r="W9" s="470" t="s">
        <v>740</v>
      </c>
      <c r="X9" s="527" t="s">
        <v>15</v>
      </c>
      <c r="Y9" s="460" t="s">
        <v>641</v>
      </c>
      <c r="Z9" s="460" t="s">
        <v>642</v>
      </c>
      <c r="AA9" s="460" t="s">
        <v>772</v>
      </c>
      <c r="AB9" s="460" t="s">
        <v>635</v>
      </c>
      <c r="AC9" s="460" t="s">
        <v>744</v>
      </c>
      <c r="AD9" s="460" t="s">
        <v>640</v>
      </c>
      <c r="AE9" s="460" t="s">
        <v>738</v>
      </c>
      <c r="AF9" s="460" t="s">
        <v>667</v>
      </c>
      <c r="AG9" s="460" t="s">
        <v>739</v>
      </c>
    </row>
    <row r="10" spans="2:33" ht="51" x14ac:dyDescent="0.2">
      <c r="B10" s="18"/>
      <c r="D10" s="579" t="s">
        <v>795</v>
      </c>
      <c r="E10" s="15" t="s">
        <v>779</v>
      </c>
      <c r="F10" s="15" t="s">
        <v>779</v>
      </c>
      <c r="G10" s="15" t="s">
        <v>779</v>
      </c>
      <c r="H10" s="579" t="s">
        <v>795</v>
      </c>
      <c r="I10" s="15" t="s">
        <v>779</v>
      </c>
      <c r="K10" s="579" t="s">
        <v>795</v>
      </c>
      <c r="L10" s="15" t="s">
        <v>779</v>
      </c>
      <c r="M10" s="15"/>
      <c r="N10" s="15"/>
      <c r="O10" s="15"/>
      <c r="P10" s="579" t="s">
        <v>795</v>
      </c>
      <c r="Q10" s="579" t="s">
        <v>795</v>
      </c>
      <c r="R10" s="18"/>
      <c r="S10" s="18"/>
      <c r="T10" s="18"/>
      <c r="U10" s="18"/>
      <c r="V10" s="18"/>
      <c r="W10" s="18"/>
      <c r="X10" s="527"/>
      <c r="Y10" s="18"/>
      <c r="Z10" s="18"/>
      <c r="AA10" s="18"/>
      <c r="AB10" s="442" t="s">
        <v>826</v>
      </c>
      <c r="AC10" s="442" t="s">
        <v>825</v>
      </c>
      <c r="AD10" s="442" t="s">
        <v>825</v>
      </c>
      <c r="AE10" s="18"/>
      <c r="AF10" s="18"/>
    </row>
    <row r="11" spans="2:33" hidden="1" x14ac:dyDescent="0.2">
      <c r="B11" s="18" t="s">
        <v>704</v>
      </c>
      <c r="C11" s="662">
        <v>1924</v>
      </c>
      <c r="R11" s="18"/>
      <c r="S11" s="18"/>
      <c r="T11" s="18"/>
      <c r="U11" s="18"/>
      <c r="V11" s="18"/>
      <c r="W11" s="18"/>
      <c r="X11" s="527">
        <f>'Benchmark Year Price'!F8</f>
        <v>12.849452851405106</v>
      </c>
      <c r="Y11" s="549">
        <f t="shared" ref="Y11:Y59" si="0">AC11*$AB$59*(73/(73-(1972-C11)))</f>
        <v>5860513.3046651976</v>
      </c>
      <c r="Z11" s="549">
        <f t="shared" ref="Z11:Z74" si="1">Y11*(1-$G$116)^(2014-C11)</f>
        <v>532787.39917625044</v>
      </c>
      <c r="AA11" s="549">
        <f t="shared" ref="AA11:AA74" si="2">C11+73</f>
        <v>1997</v>
      </c>
      <c r="AB11" s="18"/>
      <c r="AC11" s="548">
        <f>'Age Profile'!O17</f>
        <v>5.1698304790915965E-2</v>
      </c>
      <c r="AD11" s="18"/>
      <c r="AE11" s="18"/>
      <c r="AF11" s="18"/>
    </row>
    <row r="12" spans="2:33" hidden="1" x14ac:dyDescent="0.2">
      <c r="B12" s="18" t="s">
        <v>704</v>
      </c>
      <c r="C12" s="662">
        <v>1925</v>
      </c>
      <c r="R12" s="18"/>
      <c r="S12" s="18"/>
      <c r="T12" s="18"/>
      <c r="U12" s="18"/>
      <c r="V12" s="18"/>
      <c r="W12" s="18"/>
      <c r="X12" s="527">
        <f>'Benchmark Year Price'!F9</f>
        <v>12.884675159933737</v>
      </c>
      <c r="Y12" s="549">
        <f t="shared" si="0"/>
        <v>78959.011589800561</v>
      </c>
      <c r="Z12" s="549">
        <f t="shared" si="1"/>
        <v>7372.0946039738938</v>
      </c>
      <c r="AA12" s="549">
        <f t="shared" si="2"/>
        <v>1998</v>
      </c>
      <c r="AB12" s="18"/>
      <c r="AC12" s="548">
        <f>'Age Profile'!O18</f>
        <v>7.2439540844756501E-4</v>
      </c>
      <c r="AD12" s="18"/>
      <c r="AE12" s="18"/>
      <c r="AF12" s="18"/>
    </row>
    <row r="13" spans="2:33" hidden="1" x14ac:dyDescent="0.2">
      <c r="B13" s="18" t="s">
        <v>704</v>
      </c>
      <c r="C13" s="662">
        <v>1926</v>
      </c>
      <c r="R13" s="18"/>
      <c r="S13" s="18"/>
      <c r="T13" s="18"/>
      <c r="U13" s="18"/>
      <c r="V13" s="18"/>
      <c r="W13" s="18"/>
      <c r="X13" s="527">
        <f>'Benchmark Year Price'!F10</f>
        <v>12.919994018177942</v>
      </c>
      <c r="Y13" s="549">
        <f t="shared" si="0"/>
        <v>8773.2235099778409</v>
      </c>
      <c r="Z13" s="549">
        <f t="shared" si="1"/>
        <v>841.23880584789481</v>
      </c>
      <c r="AA13" s="549">
        <f t="shared" si="2"/>
        <v>1999</v>
      </c>
      <c r="AB13" s="18"/>
      <c r="AC13" s="548">
        <f>'Age Profile'!O19</f>
        <v>8.3584085590103653E-5</v>
      </c>
      <c r="AD13" s="18"/>
      <c r="AE13" s="18"/>
      <c r="AF13" s="18"/>
    </row>
    <row r="14" spans="2:33" hidden="1" x14ac:dyDescent="0.2">
      <c r="B14" s="18" t="s">
        <v>704</v>
      </c>
      <c r="C14" s="662">
        <v>1927</v>
      </c>
      <c r="R14" s="18"/>
      <c r="S14" s="18"/>
      <c r="T14" s="18"/>
      <c r="U14" s="18"/>
      <c r="V14" s="18"/>
      <c r="W14" s="18"/>
      <c r="X14" s="527">
        <f>'Benchmark Year Price'!F11</f>
        <v>12.955409690795205</v>
      </c>
      <c r="Y14" s="549">
        <f t="shared" si="0"/>
        <v>0</v>
      </c>
      <c r="Z14" s="549">
        <f t="shared" si="1"/>
        <v>0</v>
      </c>
      <c r="AA14" s="549">
        <f t="shared" si="2"/>
        <v>2000</v>
      </c>
      <c r="AB14" s="18"/>
      <c r="AC14" s="548">
        <f>'Age Profile'!O20</f>
        <v>0</v>
      </c>
      <c r="AD14" s="18"/>
      <c r="AE14" s="18"/>
      <c r="AF14" s="18"/>
    </row>
    <row r="15" spans="2:33" hidden="1" x14ac:dyDescent="0.2">
      <c r="B15" s="18" t="s">
        <v>704</v>
      </c>
      <c r="C15" s="662">
        <v>1928</v>
      </c>
      <c r="R15" s="18"/>
      <c r="S15" s="18"/>
      <c r="T15" s="18"/>
      <c r="U15" s="18"/>
      <c r="V15" s="18"/>
      <c r="W15" s="18"/>
      <c r="X15" s="527">
        <f>'Benchmark Year Price'!F12</f>
        <v>13.80285509586651</v>
      </c>
      <c r="Y15" s="549">
        <f t="shared" si="0"/>
        <v>17546.447019955678</v>
      </c>
      <c r="Z15" s="549">
        <f t="shared" si="1"/>
        <v>1774.5617232881673</v>
      </c>
      <c r="AA15" s="549">
        <f t="shared" si="2"/>
        <v>2001</v>
      </c>
      <c r="AB15" s="18"/>
      <c r="AC15" s="548">
        <f>'Age Profile'!O21</f>
        <v>1.7955099867503747E-4</v>
      </c>
      <c r="AD15" s="18"/>
      <c r="AE15" s="18"/>
      <c r="AF15" s="18"/>
    </row>
    <row r="16" spans="2:33" hidden="1" x14ac:dyDescent="0.2">
      <c r="B16" s="18" t="s">
        <v>704</v>
      </c>
      <c r="C16" s="662">
        <v>1929</v>
      </c>
      <c r="R16" s="18"/>
      <c r="S16" s="18"/>
      <c r="T16" s="18"/>
      <c r="U16" s="18"/>
      <c r="V16" s="18"/>
      <c r="W16" s="18"/>
      <c r="X16" s="527">
        <f>'Benchmark Year Price'!F13</f>
        <v>13.840690825246181</v>
      </c>
      <c r="Y16" s="549">
        <f t="shared" si="0"/>
        <v>35092.894039911356</v>
      </c>
      <c r="Z16" s="549">
        <f t="shared" si="1"/>
        <v>3644.9536764703344</v>
      </c>
      <c r="AA16" s="549">
        <f t="shared" si="2"/>
        <v>2002</v>
      </c>
      <c r="AB16" s="18"/>
      <c r="AC16" s="548">
        <f>'Age Profile'!O22</f>
        <v>3.714848248449051E-4</v>
      </c>
      <c r="AD16" s="18"/>
      <c r="AE16" s="18"/>
      <c r="AF16" s="18"/>
    </row>
    <row r="17" spans="2:32" hidden="1" x14ac:dyDescent="0.2">
      <c r="B17" s="18" t="s">
        <v>704</v>
      </c>
      <c r="C17" s="662">
        <v>1930</v>
      </c>
      <c r="R17" s="18"/>
      <c r="S17" s="18"/>
      <c r="T17" s="18"/>
      <c r="U17" s="18"/>
      <c r="V17" s="18"/>
      <c r="W17" s="18"/>
      <c r="X17" s="527">
        <f>'Benchmark Year Price'!F14</f>
        <v>13.878630268126265</v>
      </c>
      <c r="Y17" s="549">
        <f t="shared" si="0"/>
        <v>605352.42218847107</v>
      </c>
      <c r="Z17" s="549">
        <f t="shared" si="1"/>
        <v>64573.157129383297</v>
      </c>
      <c r="AA17" s="549">
        <f t="shared" si="2"/>
        <v>2003</v>
      </c>
      <c r="AB17" s="18"/>
      <c r="AC17" s="548">
        <f>'Age Profile'!O23</f>
        <v>6.6217170028604333E-3</v>
      </c>
      <c r="AD17" s="18"/>
      <c r="AE17" s="18"/>
      <c r="AF17" s="18"/>
    </row>
    <row r="18" spans="2:32" hidden="1" x14ac:dyDescent="0.2">
      <c r="B18" s="18" t="s">
        <v>704</v>
      </c>
      <c r="C18" s="662">
        <v>1931</v>
      </c>
      <c r="R18" s="18"/>
      <c r="S18" s="18"/>
      <c r="T18" s="18"/>
      <c r="U18" s="18"/>
      <c r="V18" s="18"/>
      <c r="W18" s="18"/>
      <c r="X18" s="527">
        <f>'Benchmark Year Price'!F15</f>
        <v>13.098045843577669</v>
      </c>
      <c r="Y18" s="549">
        <f t="shared" si="0"/>
        <v>842229.45695787261</v>
      </c>
      <c r="Z18" s="549">
        <f t="shared" si="1"/>
        <v>92266.717594940696</v>
      </c>
      <c r="AA18" s="549">
        <f t="shared" si="2"/>
        <v>2004</v>
      </c>
      <c r="AB18" s="18"/>
      <c r="AC18" s="548">
        <f>'Age Profile'!O24</f>
        <v>9.5100115160295703E-3</v>
      </c>
      <c r="AD18" s="18"/>
      <c r="AE18" s="18"/>
      <c r="AF18" s="18"/>
    </row>
    <row r="19" spans="2:32" hidden="1" x14ac:dyDescent="0.2">
      <c r="B19" s="18" t="s">
        <v>704</v>
      </c>
      <c r="C19" s="662">
        <v>1932</v>
      </c>
      <c r="R19" s="18"/>
      <c r="S19" s="18"/>
      <c r="T19" s="18"/>
      <c r="U19" s="18"/>
      <c r="V19" s="18"/>
      <c r="W19" s="18"/>
      <c r="X19" s="527">
        <f>'Benchmark Year Price'!F16</f>
        <v>11.492205885460596</v>
      </c>
      <c r="Y19" s="549">
        <f t="shared" si="0"/>
        <v>0</v>
      </c>
      <c r="Z19" s="549">
        <f t="shared" si="1"/>
        <v>0</v>
      </c>
      <c r="AA19" s="549">
        <f t="shared" si="2"/>
        <v>2005</v>
      </c>
      <c r="AB19" s="18"/>
      <c r="AC19" s="548">
        <f>'Age Profile'!O25</f>
        <v>0</v>
      </c>
      <c r="AD19" s="18"/>
      <c r="AE19" s="18"/>
      <c r="AF19" s="18"/>
    </row>
    <row r="20" spans="2:32" hidden="1" x14ac:dyDescent="0.2">
      <c r="B20" s="18" t="s">
        <v>704</v>
      </c>
      <c r="C20" s="662">
        <v>1933</v>
      </c>
      <c r="R20" s="18"/>
      <c r="S20" s="18"/>
      <c r="T20" s="18"/>
      <c r="U20" s="18"/>
      <c r="V20" s="18"/>
      <c r="W20" s="18"/>
      <c r="X20" s="527">
        <f>'Benchmark Year Price'!F17</f>
        <v>12.346829757011214</v>
      </c>
      <c r="Y20" s="549">
        <f t="shared" si="0"/>
        <v>3061855.0049822666</v>
      </c>
      <c r="Z20" s="549">
        <f t="shared" si="1"/>
        <v>353786.35637488071</v>
      </c>
      <c r="AA20" s="549">
        <f t="shared" si="2"/>
        <v>2006</v>
      </c>
      <c r="AB20" s="18"/>
      <c r="AC20" s="548">
        <f>'Age Profile'!O26</f>
        <v>3.6733657763413703E-2</v>
      </c>
      <c r="AD20" s="18"/>
      <c r="AE20" s="18"/>
      <c r="AF20" s="18"/>
    </row>
    <row r="21" spans="2:32" hidden="1" x14ac:dyDescent="0.2">
      <c r="B21" s="18" t="s">
        <v>704</v>
      </c>
      <c r="C21" s="662">
        <v>1934</v>
      </c>
      <c r="R21" s="18"/>
      <c r="S21" s="18"/>
      <c r="T21" s="18"/>
      <c r="U21" s="18"/>
      <c r="V21" s="18"/>
      <c r="W21" s="18"/>
      <c r="X21" s="527">
        <f>'Benchmark Year Price'!F18</f>
        <v>13.206052585640645</v>
      </c>
      <c r="Y21" s="549">
        <f t="shared" si="0"/>
        <v>0</v>
      </c>
      <c r="Z21" s="549">
        <f t="shared" si="1"/>
        <v>0</v>
      </c>
      <c r="AA21" s="549">
        <f t="shared" si="2"/>
        <v>2007</v>
      </c>
      <c r="AB21" s="18"/>
      <c r="AC21" s="548">
        <f>'Age Profile'!O27</f>
        <v>0</v>
      </c>
      <c r="AD21" s="18"/>
      <c r="AE21" s="18"/>
      <c r="AF21" s="18"/>
    </row>
    <row r="22" spans="2:32" hidden="1" x14ac:dyDescent="0.2">
      <c r="B22" s="18" t="s">
        <v>704</v>
      </c>
      <c r="C22" s="662">
        <v>1935</v>
      </c>
      <c r="R22" s="18"/>
      <c r="S22" s="18"/>
      <c r="T22" s="18"/>
      <c r="U22" s="18"/>
      <c r="V22" s="18"/>
      <c r="W22" s="18"/>
      <c r="X22" s="527">
        <f>'Benchmark Year Price'!F19</f>
        <v>13.24225238838679</v>
      </c>
      <c r="Y22" s="549">
        <f t="shared" si="0"/>
        <v>0</v>
      </c>
      <c r="Z22" s="549">
        <f t="shared" si="1"/>
        <v>0</v>
      </c>
      <c r="AA22" s="549">
        <f t="shared" si="2"/>
        <v>2008</v>
      </c>
      <c r="AB22" s="18"/>
      <c r="AC22" s="548">
        <f>'Age Profile'!O28</f>
        <v>0</v>
      </c>
      <c r="AD22" s="18"/>
      <c r="AE22" s="18"/>
      <c r="AF22" s="18"/>
    </row>
    <row r="23" spans="2:32" hidden="1" x14ac:dyDescent="0.2">
      <c r="B23" s="18" t="s">
        <v>704</v>
      </c>
      <c r="C23" s="662">
        <v>1936</v>
      </c>
      <c r="R23" s="18"/>
      <c r="S23" s="18"/>
      <c r="T23" s="18"/>
      <c r="U23" s="18"/>
      <c r="V23" s="18"/>
      <c r="W23" s="18"/>
      <c r="X23" s="527">
        <f>'Benchmark Year Price'!F20</f>
        <v>14.108460884078452</v>
      </c>
      <c r="Y23" s="549">
        <f t="shared" si="0"/>
        <v>0</v>
      </c>
      <c r="Z23" s="549">
        <f t="shared" si="1"/>
        <v>0</v>
      </c>
      <c r="AA23" s="549">
        <f t="shared" si="2"/>
        <v>2009</v>
      </c>
      <c r="AB23" s="18"/>
      <c r="AC23" s="548">
        <f>'Age Profile'!O29</f>
        <v>0</v>
      </c>
      <c r="AD23" s="18"/>
      <c r="AE23" s="18"/>
      <c r="AF23" s="18"/>
    </row>
    <row r="24" spans="2:32" hidden="1" x14ac:dyDescent="0.2">
      <c r="B24" s="18" t="s">
        <v>704</v>
      </c>
      <c r="C24" s="662">
        <v>1937</v>
      </c>
      <c r="R24" s="18"/>
      <c r="S24" s="18"/>
      <c r="T24" s="18"/>
      <c r="U24" s="18"/>
      <c r="V24" s="18"/>
      <c r="W24" s="18"/>
      <c r="X24" s="527">
        <f>'Benchmark Year Price'!F21</f>
        <v>14.979318697586205</v>
      </c>
      <c r="Y24" s="549">
        <f t="shared" si="0"/>
        <v>0</v>
      </c>
      <c r="Z24" s="549">
        <f t="shared" si="1"/>
        <v>0</v>
      </c>
      <c r="AA24" s="549">
        <f t="shared" si="2"/>
        <v>2010</v>
      </c>
      <c r="AB24" s="18"/>
      <c r="AC24" s="548">
        <f>'Age Profile'!O30</f>
        <v>0</v>
      </c>
      <c r="AD24" s="18"/>
      <c r="AE24" s="18"/>
      <c r="AF24" s="18"/>
    </row>
    <row r="25" spans="2:32" hidden="1" x14ac:dyDescent="0.2">
      <c r="B25" s="18" t="s">
        <v>704</v>
      </c>
      <c r="C25" s="662">
        <v>1938</v>
      </c>
      <c r="R25" s="18"/>
      <c r="S25" s="18"/>
      <c r="T25" s="18"/>
      <c r="U25" s="18"/>
      <c r="V25" s="18"/>
      <c r="W25" s="18"/>
      <c r="X25" s="527">
        <f>'Benchmark Year Price'!F22</f>
        <v>15.020379292991819</v>
      </c>
      <c r="Y25" s="549">
        <f t="shared" si="0"/>
        <v>70185.788079822727</v>
      </c>
      <c r="Z25" s="549">
        <f t="shared" si="1"/>
        <v>9265.3148103951917</v>
      </c>
      <c r="AA25" s="549">
        <f t="shared" si="2"/>
        <v>2011</v>
      </c>
      <c r="AB25" s="18"/>
      <c r="AC25" s="548">
        <f>'Age Profile'!O31</f>
        <v>9.6586054459675335E-4</v>
      </c>
      <c r="AD25" s="18"/>
      <c r="AE25" s="18"/>
      <c r="AF25" s="18"/>
    </row>
    <row r="26" spans="2:32" hidden="1" x14ac:dyDescent="0.2">
      <c r="B26" s="18" t="s">
        <v>704</v>
      </c>
      <c r="C26" s="662">
        <v>1939</v>
      </c>
      <c r="R26" s="18"/>
      <c r="S26" s="18"/>
      <c r="T26" s="18"/>
      <c r="U26" s="18"/>
      <c r="V26" s="18"/>
      <c r="W26" s="18"/>
      <c r="X26" s="527">
        <f>'Benchmark Year Price'!F23</f>
        <v>15.061552441747097</v>
      </c>
      <c r="Y26" s="549">
        <f t="shared" si="0"/>
        <v>0</v>
      </c>
      <c r="Z26" s="549">
        <f t="shared" si="1"/>
        <v>0</v>
      </c>
      <c r="AA26" s="549">
        <f t="shared" si="2"/>
        <v>2012</v>
      </c>
      <c r="AB26" s="18"/>
      <c r="AC26" s="548">
        <f>'Age Profile'!O32</f>
        <v>0</v>
      </c>
      <c r="AD26" s="18"/>
      <c r="AE26" s="18"/>
      <c r="AF26" s="18"/>
    </row>
    <row r="27" spans="2:32" hidden="1" x14ac:dyDescent="0.2">
      <c r="B27" s="18" t="s">
        <v>704</v>
      </c>
      <c r="C27" s="662">
        <v>1940</v>
      </c>
      <c r="R27" s="18"/>
      <c r="S27" s="18"/>
      <c r="T27" s="18"/>
      <c r="U27" s="18"/>
      <c r="V27" s="18"/>
      <c r="W27" s="18"/>
      <c r="X27" s="527">
        <f>'Benchmark Year Price'!F24</f>
        <v>15.941885033065583</v>
      </c>
      <c r="Y27" s="549">
        <f t="shared" si="0"/>
        <v>0</v>
      </c>
      <c r="Z27" s="549">
        <f t="shared" si="1"/>
        <v>0</v>
      </c>
      <c r="AA27" s="549">
        <f t="shared" si="2"/>
        <v>2013</v>
      </c>
      <c r="AB27" s="18"/>
      <c r="AC27" s="548">
        <f>'Age Profile'!O33</f>
        <v>0</v>
      </c>
      <c r="AD27" s="18"/>
      <c r="AE27" s="18"/>
      <c r="AF27" s="18"/>
    </row>
    <row r="28" spans="2:32" hidden="1" x14ac:dyDescent="0.2">
      <c r="B28" s="18" t="s">
        <v>704</v>
      </c>
      <c r="C28" s="662">
        <v>1941</v>
      </c>
      <c r="R28" s="18"/>
      <c r="S28" s="18"/>
      <c r="T28" s="18"/>
      <c r="U28" s="18"/>
      <c r="V28" s="18"/>
      <c r="W28" s="18"/>
      <c r="X28" s="527">
        <f>'Benchmark Year Price'!F25</f>
        <v>16.826930704728767</v>
      </c>
      <c r="Y28" s="549">
        <f t="shared" si="0"/>
        <v>70185.788079822727</v>
      </c>
      <c r="Z28" s="549">
        <f t="shared" si="1"/>
        <v>10036.283112191357</v>
      </c>
      <c r="AA28" s="549">
        <f t="shared" si="2"/>
        <v>2014</v>
      </c>
      <c r="AB28" s="18"/>
      <c r="AC28" s="548">
        <f>'Age Profile'!O34</f>
        <v>1.0401575095657343E-3</v>
      </c>
      <c r="AD28" s="18"/>
      <c r="AE28" s="18"/>
      <c r="AF28" s="18"/>
    </row>
    <row r="29" spans="2:32" hidden="1" x14ac:dyDescent="0.2">
      <c r="B29" s="18" t="s">
        <v>704</v>
      </c>
      <c r="C29" s="662">
        <v>1942</v>
      </c>
      <c r="R29" s="18"/>
      <c r="S29" s="18"/>
      <c r="T29" s="18"/>
      <c r="U29" s="18"/>
      <c r="V29" s="18"/>
      <c r="W29" s="18"/>
      <c r="X29" s="527">
        <f>'Benchmark Year Price'!F26</f>
        <v>17.716708680534087</v>
      </c>
      <c r="Y29" s="576">
        <f t="shared" si="0"/>
        <v>1544087.3377560999</v>
      </c>
      <c r="Z29" s="576">
        <f t="shared" si="1"/>
        <v>226760.02306701636</v>
      </c>
      <c r="AA29" s="576">
        <f t="shared" si="2"/>
        <v>2015</v>
      </c>
      <c r="AB29" s="18"/>
      <c r="AC29" s="548">
        <f>'Age Profile'!O35</f>
        <v>2.3428309620218683E-2</v>
      </c>
      <c r="AD29" s="18"/>
      <c r="AE29" s="18"/>
      <c r="AF29" s="18"/>
    </row>
    <row r="30" spans="2:32" hidden="1" x14ac:dyDescent="0.2">
      <c r="B30" s="18" t="s">
        <v>704</v>
      </c>
      <c r="C30" s="662">
        <v>1943</v>
      </c>
      <c r="R30" s="18"/>
      <c r="S30" s="18"/>
      <c r="T30" s="18"/>
      <c r="U30" s="18"/>
      <c r="V30" s="18"/>
      <c r="W30" s="18"/>
      <c r="X30" s="527">
        <f>'Benchmark Year Price'!F27</f>
        <v>17.76527287906254</v>
      </c>
      <c r="Y30" s="576">
        <f t="shared" si="0"/>
        <v>0</v>
      </c>
      <c r="Z30" s="576">
        <f t="shared" si="1"/>
        <v>0</v>
      </c>
      <c r="AA30" s="576">
        <f t="shared" si="2"/>
        <v>2016</v>
      </c>
      <c r="AB30" s="18"/>
      <c r="AC30" s="548">
        <f>'Age Profile'!O36</f>
        <v>0</v>
      </c>
      <c r="AD30" s="18"/>
      <c r="AE30" s="18"/>
      <c r="AF30" s="18"/>
    </row>
    <row r="31" spans="2:32" hidden="1" x14ac:dyDescent="0.2">
      <c r="B31" s="18" t="s">
        <v>704</v>
      </c>
      <c r="C31" s="662">
        <v>1944</v>
      </c>
      <c r="R31" s="18"/>
      <c r="S31" s="18"/>
      <c r="T31" s="18"/>
      <c r="U31" s="18"/>
      <c r="V31" s="18"/>
      <c r="W31" s="18"/>
      <c r="X31" s="527">
        <f>'Benchmark Year Price'!F28</f>
        <v>17.813970199460368</v>
      </c>
      <c r="Y31" s="576">
        <f t="shared" si="0"/>
        <v>0</v>
      </c>
      <c r="Z31" s="576">
        <f t="shared" si="1"/>
        <v>0</v>
      </c>
      <c r="AA31" s="576">
        <f t="shared" si="2"/>
        <v>2017</v>
      </c>
      <c r="AB31" s="18"/>
      <c r="AC31" s="548">
        <f>'Age Profile'!O37</f>
        <v>0</v>
      </c>
      <c r="AD31" s="18"/>
      <c r="AE31" s="18"/>
      <c r="AF31" s="18"/>
    </row>
    <row r="32" spans="2:32" hidden="1" x14ac:dyDescent="0.2">
      <c r="B32" s="18" t="s">
        <v>704</v>
      </c>
      <c r="C32" s="662">
        <v>1945</v>
      </c>
      <c r="R32" s="18"/>
      <c r="S32" s="18"/>
      <c r="T32" s="18"/>
      <c r="U32" s="18"/>
      <c r="V32" s="18"/>
      <c r="W32" s="18"/>
      <c r="X32" s="527">
        <f>'Benchmark Year Price'!F29</f>
        <v>18.713410578379424</v>
      </c>
      <c r="Y32" s="576">
        <f t="shared" si="0"/>
        <v>0</v>
      </c>
      <c r="Z32" s="576">
        <f t="shared" si="1"/>
        <v>0</v>
      </c>
      <c r="AA32" s="576">
        <f t="shared" si="2"/>
        <v>2018</v>
      </c>
      <c r="AB32" s="18"/>
      <c r="AC32" s="548">
        <f>'Age Profile'!O38</f>
        <v>0</v>
      </c>
      <c r="AD32" s="18"/>
      <c r="AE32" s="18"/>
      <c r="AF32" s="18"/>
    </row>
    <row r="33" spans="2:32" hidden="1" x14ac:dyDescent="0.2">
      <c r="B33" s="18" t="s">
        <v>704</v>
      </c>
      <c r="C33" s="662">
        <v>1946</v>
      </c>
      <c r="R33" s="18"/>
      <c r="S33" s="18"/>
      <c r="T33" s="18"/>
      <c r="U33" s="18"/>
      <c r="V33" s="18"/>
      <c r="W33" s="18"/>
      <c r="X33" s="527">
        <f>'Benchmark Year Price'!F30</f>
        <v>21.323530555349695</v>
      </c>
      <c r="Y33" s="576">
        <f t="shared" si="0"/>
        <v>1596726.6788159669</v>
      </c>
      <c r="Z33" s="576">
        <f t="shared" si="1"/>
        <v>260860.81348874496</v>
      </c>
      <c r="AA33" s="576">
        <f t="shared" si="2"/>
        <v>2019</v>
      </c>
      <c r="AB33" s="18"/>
      <c r="AC33" s="548">
        <f>'Age Profile'!O39</f>
        <v>2.6480676597694319E-2</v>
      </c>
      <c r="AD33" s="18"/>
      <c r="AE33" s="18"/>
      <c r="AF33" s="18"/>
    </row>
    <row r="34" spans="2:32" hidden="1" x14ac:dyDescent="0.2">
      <c r="B34" s="18" t="s">
        <v>704</v>
      </c>
      <c r="C34" s="662">
        <v>1947</v>
      </c>
      <c r="R34" s="18"/>
      <c r="S34" s="18"/>
      <c r="T34" s="18"/>
      <c r="U34" s="18"/>
      <c r="V34" s="18"/>
      <c r="W34" s="18"/>
      <c r="X34" s="527">
        <f>'Benchmark Year Price'!F31</f>
        <v>24.803098658689393</v>
      </c>
      <c r="Y34" s="576">
        <f t="shared" si="0"/>
        <v>0</v>
      </c>
      <c r="Z34" s="576">
        <f t="shared" si="1"/>
        <v>0</v>
      </c>
      <c r="AA34" s="576">
        <f t="shared" si="2"/>
        <v>2020</v>
      </c>
      <c r="AB34" s="18"/>
      <c r="AC34" s="548">
        <f>'Age Profile'!O40</f>
        <v>0</v>
      </c>
      <c r="AD34" s="18"/>
      <c r="AE34" s="18"/>
      <c r="AF34" s="18"/>
    </row>
    <row r="35" spans="2:32" hidden="1" x14ac:dyDescent="0.2">
      <c r="B35" s="18" t="s">
        <v>704</v>
      </c>
      <c r="C35" s="662">
        <v>1948</v>
      </c>
      <c r="R35" s="18"/>
      <c r="S35" s="18"/>
      <c r="T35" s="18"/>
      <c r="U35" s="18"/>
      <c r="V35" s="18"/>
      <c r="W35" s="18"/>
      <c r="X35" s="527">
        <f>'Benchmark Year Price'!F32</f>
        <v>28.301582591719672</v>
      </c>
      <c r="Y35" s="576">
        <f t="shared" si="0"/>
        <v>1675685.6904057679</v>
      </c>
      <c r="Z35" s="576">
        <f t="shared" si="1"/>
        <v>288743.78116061899</v>
      </c>
      <c r="AA35" s="576">
        <f t="shared" si="2"/>
        <v>2021</v>
      </c>
      <c r="AB35" s="18"/>
      <c r="AC35" s="548">
        <f>'Age Profile'!O41</f>
        <v>2.8972720631028893E-2</v>
      </c>
      <c r="AD35" s="18"/>
      <c r="AE35" s="18"/>
      <c r="AF35" s="18"/>
    </row>
    <row r="36" spans="2:32" hidden="1" x14ac:dyDescent="0.2">
      <c r="B36" s="18" t="s">
        <v>704</v>
      </c>
      <c r="C36" s="662">
        <v>1949</v>
      </c>
      <c r="R36" s="18"/>
      <c r="S36" s="18"/>
      <c r="T36" s="18"/>
      <c r="U36" s="18"/>
      <c r="V36" s="18"/>
      <c r="W36" s="18"/>
      <c r="X36" s="527">
        <f>'Benchmark Year Price'!F33</f>
        <v>29.239136134984086</v>
      </c>
      <c r="Y36" s="576">
        <f t="shared" si="0"/>
        <v>0</v>
      </c>
      <c r="Z36" s="576">
        <f t="shared" si="1"/>
        <v>0</v>
      </c>
      <c r="AA36" s="576">
        <f t="shared" si="2"/>
        <v>2022</v>
      </c>
      <c r="AB36" s="18"/>
      <c r="AC36" s="548">
        <f>'Age Profile'!O42</f>
        <v>0</v>
      </c>
      <c r="AD36" s="18"/>
      <c r="AE36" s="18"/>
      <c r="AF36" s="18"/>
    </row>
    <row r="37" spans="2:32" hidden="1" x14ac:dyDescent="0.2">
      <c r="B37" s="18" t="s">
        <v>704</v>
      </c>
      <c r="C37" s="662">
        <v>1950</v>
      </c>
      <c r="R37" s="18"/>
      <c r="S37" s="18"/>
      <c r="T37" s="18"/>
      <c r="U37" s="18"/>
      <c r="V37" s="18"/>
      <c r="W37" s="18"/>
      <c r="X37" s="527">
        <f>'Benchmark Year Price'!F34</f>
        <v>30.181616976811991</v>
      </c>
      <c r="Y37" s="576">
        <f t="shared" si="0"/>
        <v>6299174.4801640902</v>
      </c>
      <c r="Z37" s="576">
        <f t="shared" si="1"/>
        <v>1144841.943218488</v>
      </c>
      <c r="AA37" s="576">
        <f t="shared" si="2"/>
        <v>2023</v>
      </c>
      <c r="AB37" s="18"/>
      <c r="AC37" s="548">
        <f>'Age Profile'!O43</f>
        <v>0.11335859430142281</v>
      </c>
      <c r="AD37" s="18"/>
      <c r="AE37" s="18"/>
      <c r="AF37" s="18"/>
    </row>
    <row r="38" spans="2:32" hidden="1" x14ac:dyDescent="0.2">
      <c r="B38" s="18" t="s">
        <v>704</v>
      </c>
      <c r="C38" s="662">
        <v>1951</v>
      </c>
      <c r="R38" s="18"/>
      <c r="S38" s="18"/>
      <c r="T38" s="18"/>
      <c r="U38" s="18"/>
      <c r="V38" s="18"/>
      <c r="W38" s="18"/>
      <c r="X38" s="527">
        <f>'Benchmark Year Price'!F35</f>
        <v>32.858436479093434</v>
      </c>
      <c r="Y38" s="576">
        <f t="shared" si="0"/>
        <v>0</v>
      </c>
      <c r="Z38" s="576">
        <f t="shared" si="1"/>
        <v>0</v>
      </c>
      <c r="AA38" s="576">
        <f t="shared" si="2"/>
        <v>2024</v>
      </c>
      <c r="AB38" s="18"/>
      <c r="AC38" s="548">
        <f>'Age Profile'!O44</f>
        <v>0</v>
      </c>
      <c r="AD38" s="18"/>
      <c r="AE38" s="18"/>
      <c r="AF38" s="18"/>
    </row>
    <row r="39" spans="2:32" hidden="1" x14ac:dyDescent="0.2">
      <c r="B39" s="18" t="s">
        <v>704</v>
      </c>
      <c r="C39" s="662">
        <v>1952</v>
      </c>
      <c r="R39" s="18"/>
      <c r="S39" s="18"/>
      <c r="T39" s="18"/>
      <c r="U39" s="18"/>
      <c r="V39" s="18"/>
      <c r="W39" s="18"/>
      <c r="X39" s="527">
        <f>'Benchmark Year Price'!F36</f>
        <v>34.682638380131046</v>
      </c>
      <c r="Y39" s="576">
        <f t="shared" si="0"/>
        <v>2131893.3129246151</v>
      </c>
      <c r="Z39" s="576">
        <f t="shared" si="1"/>
        <v>408666.63077343581</v>
      </c>
      <c r="AA39" s="576">
        <f t="shared" si="2"/>
        <v>2025</v>
      </c>
      <c r="AB39" s="18"/>
      <c r="AC39" s="548">
        <f>'Age Profile'!O45</f>
        <v>3.9869608826479441E-2</v>
      </c>
      <c r="AD39" s="18"/>
      <c r="AE39" s="18"/>
      <c r="AF39" s="18"/>
    </row>
    <row r="40" spans="2:32" hidden="1" x14ac:dyDescent="0.2">
      <c r="B40" s="18" t="s">
        <v>704</v>
      </c>
      <c r="C40" s="662">
        <v>1953</v>
      </c>
      <c r="R40" s="18"/>
      <c r="S40" s="18"/>
      <c r="T40" s="18"/>
      <c r="U40" s="18"/>
      <c r="V40" s="18"/>
      <c r="W40" s="18"/>
      <c r="X40" s="527">
        <f>'Benchmark Year Price'!F37</f>
        <v>37.386036935900769</v>
      </c>
      <c r="Y40" s="576">
        <f t="shared" si="0"/>
        <v>0</v>
      </c>
      <c r="Z40" s="576">
        <f t="shared" si="1"/>
        <v>0</v>
      </c>
      <c r="AA40" s="576">
        <f t="shared" si="2"/>
        <v>2026</v>
      </c>
      <c r="AB40" s="18"/>
      <c r="AC40" s="548">
        <f>'Age Profile'!O46</f>
        <v>0</v>
      </c>
      <c r="AD40" s="18"/>
      <c r="AE40" s="18"/>
      <c r="AF40" s="18"/>
    </row>
    <row r="41" spans="2:32" hidden="1" x14ac:dyDescent="0.2">
      <c r="B41" s="18" t="s">
        <v>704</v>
      </c>
      <c r="C41" s="662">
        <v>1954</v>
      </c>
      <c r="R41" s="18"/>
      <c r="S41" s="18"/>
      <c r="T41" s="18"/>
      <c r="U41" s="18"/>
      <c r="V41" s="18"/>
      <c r="W41" s="18"/>
      <c r="X41" s="527">
        <f>'Benchmark Year Price'!F38</f>
        <v>38.360343755229508</v>
      </c>
      <c r="Y41" s="576">
        <f t="shared" si="0"/>
        <v>13151062.041456785</v>
      </c>
      <c r="Z41" s="576">
        <f t="shared" si="1"/>
        <v>2658926.6222380647</v>
      </c>
      <c r="AA41" s="576">
        <f t="shared" si="2"/>
        <v>2027</v>
      </c>
      <c r="AB41" s="18"/>
      <c r="AC41" s="548">
        <f>'Age Profile'!O47</f>
        <v>0.25522555320281837</v>
      </c>
      <c r="AD41" s="18"/>
      <c r="AE41" s="18"/>
      <c r="AF41" s="18"/>
    </row>
    <row r="42" spans="2:32" hidden="1" x14ac:dyDescent="0.2">
      <c r="B42" s="18" t="s">
        <v>704</v>
      </c>
      <c r="C42" s="662">
        <v>1955</v>
      </c>
      <c r="R42" s="18"/>
      <c r="S42" s="18"/>
      <c r="T42" s="18"/>
      <c r="U42" s="18"/>
      <c r="V42" s="18"/>
      <c r="W42" s="18"/>
      <c r="X42" s="527">
        <f>'Benchmark Year Price'!F39</f>
        <v>40.213926908306824</v>
      </c>
      <c r="Y42" s="576">
        <f t="shared" si="0"/>
        <v>0</v>
      </c>
      <c r="Z42" s="576">
        <f t="shared" si="1"/>
        <v>0</v>
      </c>
      <c r="AA42" s="576">
        <f t="shared" si="2"/>
        <v>2028</v>
      </c>
      <c r="AB42" s="18"/>
      <c r="AC42" s="548">
        <f>'Age Profile'!O48</f>
        <v>0</v>
      </c>
      <c r="AD42" s="18"/>
      <c r="AE42" s="18"/>
      <c r="AF42" s="18"/>
    </row>
    <row r="43" spans="2:32" hidden="1" x14ac:dyDescent="0.2">
      <c r="B43" s="18" t="s">
        <v>704</v>
      </c>
      <c r="C43" s="662">
        <v>1956</v>
      </c>
      <c r="R43" s="18"/>
      <c r="S43" s="18"/>
      <c r="T43" s="18"/>
      <c r="U43" s="18"/>
      <c r="V43" s="18"/>
      <c r="W43" s="18"/>
      <c r="X43" s="527">
        <f>'Benchmark Year Price'!F40</f>
        <v>43.830608054983387</v>
      </c>
      <c r="Y43" s="576">
        <f t="shared" si="0"/>
        <v>640445.31622838241</v>
      </c>
      <c r="Z43" s="576">
        <f t="shared" si="1"/>
        <v>136574.42962712268</v>
      </c>
      <c r="AA43" s="576">
        <f t="shared" si="2"/>
        <v>2029</v>
      </c>
      <c r="AB43" s="18"/>
      <c r="AC43" s="548">
        <f>'Age Profile'!O49</f>
        <v>1.2881236301497085E-2</v>
      </c>
      <c r="AD43" s="18"/>
      <c r="AE43" s="18"/>
      <c r="AF43" s="18"/>
    </row>
    <row r="44" spans="2:32" hidden="1" x14ac:dyDescent="0.2">
      <c r="B44" s="18" t="s">
        <v>704</v>
      </c>
      <c r="C44" s="662">
        <v>1957</v>
      </c>
      <c r="R44" s="18"/>
      <c r="S44" s="18"/>
      <c r="T44" s="18"/>
      <c r="U44" s="18"/>
      <c r="V44" s="18"/>
      <c r="W44" s="18"/>
      <c r="X44" s="527">
        <f>'Benchmark Year Price'!F41</f>
        <v>46.587799697356402</v>
      </c>
      <c r="Y44" s="576">
        <f t="shared" si="0"/>
        <v>1526540.890736144</v>
      </c>
      <c r="Z44" s="576">
        <f t="shared" si="1"/>
        <v>334323.33585819887</v>
      </c>
      <c r="AA44" s="576">
        <f t="shared" si="2"/>
        <v>2030</v>
      </c>
      <c r="AB44" s="18"/>
      <c r="AC44" s="548">
        <f>'Age Profile'!O50</f>
        <v>3.1241873769456519E-2</v>
      </c>
      <c r="AD44" s="18"/>
      <c r="AE44" s="18"/>
      <c r="AF44" s="18"/>
    </row>
    <row r="45" spans="2:32" hidden="1" x14ac:dyDescent="0.2">
      <c r="B45" s="18" t="s">
        <v>704</v>
      </c>
      <c r="C45" s="662">
        <v>1958</v>
      </c>
      <c r="R45" s="18"/>
      <c r="S45" s="18"/>
      <c r="T45" s="18"/>
      <c r="U45" s="18"/>
      <c r="V45" s="18"/>
      <c r="W45" s="18"/>
      <c r="X45" s="527">
        <f>'Benchmark Year Price'!F42</f>
        <v>48.478353162229681</v>
      </c>
      <c r="Y45" s="576">
        <f t="shared" si="0"/>
        <v>10562961.106013322</v>
      </c>
      <c r="Z45" s="576">
        <f t="shared" si="1"/>
        <v>2375827.1341187269</v>
      </c>
      <c r="AA45" s="576">
        <f t="shared" si="2"/>
        <v>2031</v>
      </c>
      <c r="AB45" s="18"/>
      <c r="AC45" s="548">
        <f>'Age Profile'!O51</f>
        <v>0.21990663348068901</v>
      </c>
      <c r="AD45" s="18"/>
      <c r="AE45" s="18"/>
      <c r="AF45" s="18"/>
    </row>
    <row r="46" spans="2:32" hidden="1" x14ac:dyDescent="0.2">
      <c r="B46" s="18" t="s">
        <v>704</v>
      </c>
      <c r="C46" s="662">
        <v>1959</v>
      </c>
      <c r="R46" s="18"/>
      <c r="S46" s="18"/>
      <c r="T46" s="18"/>
      <c r="U46" s="18"/>
      <c r="V46" s="18"/>
      <c r="W46" s="18"/>
      <c r="X46" s="527">
        <f>'Benchmark Year Price'!F43</f>
        <v>50.378921160603916</v>
      </c>
      <c r="Y46" s="576">
        <f t="shared" si="0"/>
        <v>421114.72847893636</v>
      </c>
      <c r="Z46" s="576">
        <f t="shared" si="1"/>
        <v>97274.833567991125</v>
      </c>
      <c r="AA46" s="576">
        <f t="shared" si="2"/>
        <v>2032</v>
      </c>
      <c r="AB46" s="18"/>
      <c r="AC46" s="548">
        <f>'Age Profile'!O52</f>
        <v>8.9156357962777242E-3</v>
      </c>
      <c r="AD46" s="18"/>
      <c r="AE46" s="18"/>
      <c r="AF46" s="18"/>
    </row>
    <row r="47" spans="2:32" hidden="1" x14ac:dyDescent="0.2">
      <c r="B47" s="18" t="s">
        <v>704</v>
      </c>
      <c r="C47" s="662">
        <v>1960</v>
      </c>
      <c r="R47" s="18"/>
      <c r="S47" s="18"/>
      <c r="T47" s="18"/>
      <c r="U47" s="18"/>
      <c r="V47" s="18"/>
      <c r="W47" s="18"/>
      <c r="X47" s="527">
        <f>'Benchmark Year Price'!F44</f>
        <v>51.403280925510415</v>
      </c>
      <c r="Y47" s="576">
        <f t="shared" si="0"/>
        <v>0</v>
      </c>
      <c r="Z47" s="576">
        <f t="shared" si="1"/>
        <v>0</v>
      </c>
      <c r="AA47" s="576">
        <f t="shared" si="2"/>
        <v>2033</v>
      </c>
      <c r="AB47" s="18"/>
      <c r="AC47" s="548">
        <f>'Age Profile'!O53</f>
        <v>0</v>
      </c>
      <c r="AD47" s="18"/>
      <c r="AE47" s="18"/>
      <c r="AF47" s="18"/>
    </row>
    <row r="48" spans="2:32" hidden="1" x14ac:dyDescent="0.2">
      <c r="B48" s="18" t="s">
        <v>704</v>
      </c>
      <c r="C48" s="662">
        <v>1961</v>
      </c>
      <c r="R48" s="18"/>
      <c r="S48" s="18"/>
      <c r="T48" s="18"/>
      <c r="U48" s="18"/>
      <c r="V48" s="18"/>
      <c r="W48" s="18"/>
      <c r="X48" s="535">
        <f>'Benchmark Year Price'!F45</f>
        <v>51.544185152412517</v>
      </c>
      <c r="Y48" s="549">
        <f t="shared" si="0"/>
        <v>1596726.6788159672</v>
      </c>
      <c r="Z48" s="549">
        <f t="shared" si="1"/>
        <v>389020.47772433708</v>
      </c>
      <c r="AA48" s="549">
        <f t="shared" si="2"/>
        <v>2034</v>
      </c>
      <c r="AB48" s="18"/>
      <c r="AC48" s="548">
        <f>'Age Profile'!O54</f>
        <v>3.4931956362915913E-2</v>
      </c>
      <c r="AD48" s="18"/>
      <c r="AE48" s="18"/>
      <c r="AF48" s="18"/>
    </row>
    <row r="49" spans="1:36" hidden="1" x14ac:dyDescent="0.2">
      <c r="B49" s="18" t="s">
        <v>704</v>
      </c>
      <c r="C49" s="662">
        <v>1962</v>
      </c>
      <c r="R49" s="18"/>
      <c r="S49" s="18"/>
      <c r="T49" s="18"/>
      <c r="U49" s="18"/>
      <c r="V49" s="18"/>
      <c r="W49" s="18"/>
      <c r="X49" s="535">
        <f>'Benchmark Year Price'!F46</f>
        <v>52.51404233942629</v>
      </c>
      <c r="Y49" s="549">
        <f t="shared" si="0"/>
        <v>0</v>
      </c>
      <c r="Z49" s="549">
        <f t="shared" si="1"/>
        <v>0</v>
      </c>
      <c r="AA49" s="549">
        <f t="shared" si="2"/>
        <v>2035</v>
      </c>
      <c r="AB49" s="18"/>
      <c r="AC49" s="548">
        <f>'Age Profile'!O55</f>
        <v>0</v>
      </c>
      <c r="AD49" s="18"/>
      <c r="AE49" s="18"/>
      <c r="AF49" s="18"/>
    </row>
    <row r="50" spans="1:36" hidden="1" x14ac:dyDescent="0.2">
      <c r="B50" s="18" t="s">
        <v>704</v>
      </c>
      <c r="C50" s="662">
        <v>1963</v>
      </c>
      <c r="R50" s="18"/>
      <c r="S50" s="18"/>
      <c r="T50" s="18"/>
      <c r="U50" s="18"/>
      <c r="V50" s="18"/>
      <c r="W50" s="18"/>
      <c r="X50" s="535">
        <f>'Benchmark Year Price'!F47</f>
        <v>53.843504762993959</v>
      </c>
      <c r="Y50" s="549">
        <f t="shared" si="0"/>
        <v>0</v>
      </c>
      <c r="Z50" s="549">
        <f t="shared" si="1"/>
        <v>0</v>
      </c>
      <c r="AA50" s="549">
        <f t="shared" si="2"/>
        <v>2036</v>
      </c>
      <c r="AB50" s="18"/>
      <c r="AC50" s="548">
        <f>'Age Profile'!O56</f>
        <v>0</v>
      </c>
      <c r="AD50" s="18"/>
      <c r="AE50" s="18"/>
      <c r="AF50" s="18"/>
    </row>
    <row r="51" spans="1:36" hidden="1" x14ac:dyDescent="0.2">
      <c r="B51" s="18" t="s">
        <v>704</v>
      </c>
      <c r="C51" s="662">
        <v>1964</v>
      </c>
      <c r="R51" s="18"/>
      <c r="S51" s="18"/>
      <c r="T51" s="18"/>
      <c r="U51" s="18"/>
      <c r="V51" s="18"/>
      <c r="W51" s="18"/>
      <c r="X51" s="535">
        <f>'Benchmark Year Price'!F48</f>
        <v>55.483830549748802</v>
      </c>
      <c r="Y51" s="549">
        <f t="shared" si="0"/>
        <v>0</v>
      </c>
      <c r="Z51" s="549">
        <f t="shared" si="1"/>
        <v>0</v>
      </c>
      <c r="AA51" s="549">
        <f t="shared" si="2"/>
        <v>2037</v>
      </c>
      <c r="AB51" s="18"/>
      <c r="AC51" s="548">
        <f>'Age Profile'!O57</f>
        <v>0</v>
      </c>
      <c r="AD51" s="18"/>
      <c r="AE51" s="18"/>
      <c r="AF51" s="18"/>
    </row>
    <row r="52" spans="1:36" hidden="1" x14ac:dyDescent="0.2">
      <c r="B52" s="18" t="s">
        <v>704</v>
      </c>
      <c r="C52" s="662">
        <v>1965</v>
      </c>
      <c r="R52" s="18"/>
      <c r="S52" s="18"/>
      <c r="T52" s="18"/>
      <c r="U52" s="18"/>
      <c r="V52" s="18"/>
      <c r="W52" s="18"/>
      <c r="X52" s="535">
        <f>'Benchmark Year Price'!F49</f>
        <v>57.388071072506627</v>
      </c>
      <c r="Y52" s="549">
        <f t="shared" si="0"/>
        <v>0</v>
      </c>
      <c r="Z52" s="549">
        <f t="shared" si="1"/>
        <v>0</v>
      </c>
      <c r="AA52" s="549">
        <f t="shared" si="2"/>
        <v>2038</v>
      </c>
      <c r="AB52" s="18"/>
      <c r="AC52" s="548">
        <f>'Age Profile'!O58</f>
        <v>0</v>
      </c>
      <c r="AD52" s="18"/>
      <c r="AE52" s="18"/>
      <c r="AF52" s="18"/>
    </row>
    <row r="53" spans="1:36" hidden="1" x14ac:dyDescent="0.2">
      <c r="B53" s="18" t="s">
        <v>704</v>
      </c>
      <c r="C53" s="662">
        <v>1966</v>
      </c>
      <c r="R53" s="18"/>
      <c r="S53" s="18"/>
      <c r="T53" s="18"/>
      <c r="U53" s="18"/>
      <c r="V53" s="18"/>
      <c r="W53" s="18"/>
      <c r="X53" s="535">
        <f>'Benchmark Year Price'!F50</f>
        <v>60.458691080750732</v>
      </c>
      <c r="Y53" s="549">
        <f t="shared" si="0"/>
        <v>0</v>
      </c>
      <c r="Z53" s="549">
        <f t="shared" si="1"/>
        <v>0</v>
      </c>
      <c r="AA53" s="549">
        <f t="shared" si="2"/>
        <v>2039</v>
      </c>
      <c r="AB53" s="18"/>
      <c r="AC53" s="548">
        <f>'Age Profile'!O59</f>
        <v>0</v>
      </c>
      <c r="AD53" s="18"/>
      <c r="AE53" s="18"/>
      <c r="AF53" s="18"/>
    </row>
    <row r="54" spans="1:36" hidden="1" x14ac:dyDescent="0.2">
      <c r="B54" s="18" t="s">
        <v>704</v>
      </c>
      <c r="C54" s="662">
        <v>1967</v>
      </c>
      <c r="R54" s="18"/>
      <c r="S54" s="18"/>
      <c r="T54" s="18"/>
      <c r="U54" s="18"/>
      <c r="V54" s="18"/>
      <c r="W54" s="18"/>
      <c r="X54" s="535">
        <f>'Benchmark Year Price'!F51</f>
        <v>64.264153106800975</v>
      </c>
      <c r="Y54" s="549">
        <f t="shared" si="0"/>
        <v>1491447.9966962326</v>
      </c>
      <c r="Z54" s="549">
        <f t="shared" si="1"/>
        <v>426359.00856892177</v>
      </c>
      <c r="AA54" s="549">
        <f t="shared" si="2"/>
        <v>2040</v>
      </c>
      <c r="AB54" s="18"/>
      <c r="AC54" s="548">
        <f>'Age Profile'!O60</f>
        <v>3.578637146005919E-2</v>
      </c>
      <c r="AD54" s="18"/>
      <c r="AE54" s="18"/>
      <c r="AF54" s="18"/>
    </row>
    <row r="55" spans="1:36" hidden="1" x14ac:dyDescent="0.2">
      <c r="B55" s="18" t="s">
        <v>704</v>
      </c>
      <c r="C55" s="662">
        <v>1968</v>
      </c>
      <c r="R55" s="18"/>
      <c r="S55" s="18"/>
      <c r="T55" s="18"/>
      <c r="U55" s="18"/>
      <c r="V55" s="18"/>
      <c r="W55" s="18"/>
      <c r="X55" s="535">
        <f>'Benchmark Year Price'!F52</f>
        <v>67.070693749614904</v>
      </c>
      <c r="Y55" s="549">
        <f t="shared" si="0"/>
        <v>0</v>
      </c>
      <c r="Z55" s="549">
        <f t="shared" si="1"/>
        <v>0</v>
      </c>
      <c r="AA55" s="549">
        <f t="shared" si="2"/>
        <v>2041</v>
      </c>
      <c r="AB55" s="18"/>
      <c r="AC55" s="548">
        <f>'Age Profile'!O61</f>
        <v>0</v>
      </c>
      <c r="AD55" s="18"/>
      <c r="AE55" s="18"/>
      <c r="AF55" s="18"/>
    </row>
    <row r="56" spans="1:36" hidden="1" x14ac:dyDescent="0.2">
      <c r="B56" s="18" t="s">
        <v>704</v>
      </c>
      <c r="C56" s="662">
        <v>1969</v>
      </c>
      <c r="R56" s="18"/>
      <c r="S56" s="18"/>
      <c r="T56" s="18"/>
      <c r="U56" s="18"/>
      <c r="V56" s="18"/>
      <c r="W56" s="18"/>
      <c r="X56" s="535">
        <f>'Benchmark Year Price'!F53</f>
        <v>71.802731262202371</v>
      </c>
      <c r="Y56" s="549">
        <f t="shared" si="0"/>
        <v>0</v>
      </c>
      <c r="Z56" s="549">
        <f t="shared" si="1"/>
        <v>0</v>
      </c>
      <c r="AA56" s="549">
        <f t="shared" si="2"/>
        <v>2042</v>
      </c>
      <c r="AB56" s="18"/>
      <c r="AC56" s="548">
        <f>'Age Profile'!O62</f>
        <v>0</v>
      </c>
      <c r="AD56" s="18"/>
      <c r="AE56" s="18"/>
      <c r="AF56" s="18"/>
    </row>
    <row r="57" spans="1:36" hidden="1" x14ac:dyDescent="0.2">
      <c r="B57" s="18" t="s">
        <v>704</v>
      </c>
      <c r="C57" s="662">
        <v>1970</v>
      </c>
      <c r="K57" s="427"/>
      <c r="L57" s="427"/>
      <c r="M57" s="427"/>
      <c r="N57" s="427"/>
      <c r="O57" s="427"/>
      <c r="P57" s="427"/>
      <c r="Q57" s="427"/>
      <c r="X57" s="468">
        <f>'Benchmark Year Price'!F54</f>
        <v>75.96867463555445</v>
      </c>
      <c r="Y57" s="432">
        <f t="shared" si="0"/>
        <v>0</v>
      </c>
      <c r="Z57" s="549">
        <f t="shared" si="1"/>
        <v>0</v>
      </c>
      <c r="AA57" s="549">
        <f t="shared" si="2"/>
        <v>2043</v>
      </c>
      <c r="AC57" s="548">
        <f>'Age Profile'!O63</f>
        <v>0</v>
      </c>
    </row>
    <row r="58" spans="1:36" hidden="1" x14ac:dyDescent="0.2">
      <c r="B58" s="18" t="s">
        <v>704</v>
      </c>
      <c r="C58" s="662">
        <v>1971</v>
      </c>
      <c r="K58" s="427"/>
      <c r="L58" s="427"/>
      <c r="M58" s="427"/>
      <c r="N58" s="427"/>
      <c r="O58" s="427"/>
      <c r="P58" s="427"/>
      <c r="Q58" s="427"/>
      <c r="X58" s="468">
        <f>'Benchmark Year Price'!F55</f>
        <v>82.401937494934856</v>
      </c>
      <c r="Y58" s="432">
        <f t="shared" si="0"/>
        <v>2403863.2417339282</v>
      </c>
      <c r="Z58" s="549">
        <f t="shared" si="1"/>
        <v>764470.47455193463</v>
      </c>
      <c r="AA58" s="549">
        <f t="shared" si="2"/>
        <v>2044</v>
      </c>
      <c r="AC58" s="548">
        <f>'Age Profile'!O64</f>
        <v>6.1072105204502403E-2</v>
      </c>
    </row>
    <row r="59" spans="1:36" s="507" customFormat="1" x14ac:dyDescent="0.2">
      <c r="A59" s="507" t="s">
        <v>832</v>
      </c>
      <c r="B59" s="507" t="s">
        <v>704</v>
      </c>
      <c r="C59" s="508">
        <v>1972</v>
      </c>
      <c r="D59" s="509">
        <f>6526*$G$136</f>
        <v>5807.9849503733421</v>
      </c>
      <c r="E59" s="509"/>
      <c r="F59" s="509">
        <v>6117.1</v>
      </c>
      <c r="K59" s="509"/>
      <c r="L59" s="509"/>
      <c r="M59" s="509"/>
      <c r="N59" s="730">
        <f>N60</f>
        <v>12.849452851405106</v>
      </c>
      <c r="O59" s="735"/>
      <c r="P59" s="509">
        <f>$G$136*1584296000</f>
        <v>1409985799.1015451</v>
      </c>
      <c r="Q59" s="509">
        <f>$G$136*225650000</f>
        <v>200823138.83722717</v>
      </c>
      <c r="X59" s="538">
        <f>'Benchmark Year Price'!F56</f>
        <v>90.370769005625831</v>
      </c>
      <c r="Y59" s="509">
        <f t="shared" si="0"/>
        <v>0</v>
      </c>
      <c r="Z59" s="549">
        <f t="shared" si="1"/>
        <v>0</v>
      </c>
      <c r="AA59" s="549">
        <f t="shared" si="2"/>
        <v>2045</v>
      </c>
      <c r="AB59" s="509">
        <f>P59/G119</f>
        <v>38821874.575083859</v>
      </c>
      <c r="AC59" s="509">
        <f>'Age Profile'!O65</f>
        <v>0</v>
      </c>
      <c r="AD59" s="509"/>
    </row>
    <row r="60" spans="1:36" x14ac:dyDescent="0.2">
      <c r="B60" s="18" t="s">
        <v>704</v>
      </c>
      <c r="C60" s="662">
        <v>1973</v>
      </c>
      <c r="D60" s="427"/>
      <c r="E60" s="427"/>
      <c r="F60" s="427"/>
      <c r="K60" s="427">
        <f t="shared" ref="K60:K88" si="3">L60*$G$136</f>
        <v>7628876.3399632676</v>
      </c>
      <c r="L60" s="427">
        <v>8572000</v>
      </c>
      <c r="M60" s="427">
        <v>1146000</v>
      </c>
      <c r="N60" s="731">
        <f>N61</f>
        <v>12.849452851405106</v>
      </c>
      <c r="O60" s="567">
        <f>M60/N60</f>
        <v>89186.676915560907</v>
      </c>
      <c r="P60" s="427"/>
      <c r="Q60" s="427"/>
      <c r="X60" s="468">
        <f>'Benchmark Year Price'!F57</f>
        <v>100</v>
      </c>
      <c r="Y60" s="432">
        <f t="shared" ref="Y60:Y101" si="4">K60/X60</f>
        <v>76288.763399632677</v>
      </c>
      <c r="Z60" s="549">
        <f t="shared" si="1"/>
        <v>25589.002175293983</v>
      </c>
      <c r="AA60" s="549">
        <f t="shared" si="2"/>
        <v>2046</v>
      </c>
      <c r="AB60" s="432">
        <f>AB59+(K60/X60)-O60</f>
        <v>38808976.661567926</v>
      </c>
      <c r="AC60" s="432"/>
      <c r="AD60" s="432">
        <f>AB59</f>
        <v>38821874.575083859</v>
      </c>
      <c r="AI60" s="427">
        <f>'OPG TFP'!AA60</f>
        <v>30197769.147888906</v>
      </c>
      <c r="AJ60">
        <f>AD60/AI60</f>
        <v>1.2855875010157118</v>
      </c>
    </row>
    <row r="61" spans="1:36" x14ac:dyDescent="0.2">
      <c r="B61" s="18" t="s">
        <v>704</v>
      </c>
      <c r="C61" s="662">
        <v>1974</v>
      </c>
      <c r="K61" s="427">
        <f t="shared" si="3"/>
        <v>1808431.7222124778</v>
      </c>
      <c r="L61" s="427">
        <v>2032000</v>
      </c>
      <c r="M61" s="427">
        <v>1267000</v>
      </c>
      <c r="N61" s="722">
        <f>'Benchmark Year Price'!F8</f>
        <v>12.849452851405106</v>
      </c>
      <c r="O61" s="361">
        <f t="shared" ref="O61:O101" si="5">M61/N61</f>
        <v>98603.420289716989</v>
      </c>
      <c r="P61" s="427"/>
      <c r="Q61" s="427"/>
      <c r="X61" s="468">
        <f>'Benchmark Year Price'!F58</f>
        <v>122.68177329332504</v>
      </c>
      <c r="Y61" s="432">
        <f t="shared" si="4"/>
        <v>14740.834548328723</v>
      </c>
      <c r="Z61" s="549">
        <f t="shared" si="1"/>
        <v>5077.9188427746103</v>
      </c>
      <c r="AA61" s="549">
        <f t="shared" si="2"/>
        <v>2047</v>
      </c>
      <c r="AB61" s="432">
        <f t="shared" ref="AB61:AB101" si="6">AB60+(K61/X61)-O61</f>
        <v>38725114.075826541</v>
      </c>
      <c r="AC61" s="432"/>
      <c r="AD61" s="432">
        <f t="shared" ref="AD61:AD102" si="7">AB60</f>
        <v>38808976.661567926</v>
      </c>
      <c r="AI61" s="427">
        <f>'OPG TFP'!AA61</f>
        <v>29480122.12592886</v>
      </c>
      <c r="AJ61">
        <f t="shared" ref="AJ61:AJ101" si="8">AD61/AI61</f>
        <v>1.3164455864799147</v>
      </c>
    </row>
    <row r="62" spans="1:36" x14ac:dyDescent="0.2">
      <c r="B62" s="18" t="s">
        <v>704</v>
      </c>
      <c r="C62" s="662">
        <v>1975</v>
      </c>
      <c r="K62" s="427">
        <f t="shared" si="3"/>
        <v>4405382.394169176</v>
      </c>
      <c r="L62" s="427">
        <v>4950000</v>
      </c>
      <c r="M62" s="427">
        <v>1006000</v>
      </c>
      <c r="N62" s="361">
        <f>'Benchmark Year Price'!F9</f>
        <v>12.884675159933737</v>
      </c>
      <c r="O62" s="361">
        <f t="shared" si="5"/>
        <v>78077.249718197287</v>
      </c>
      <c r="P62" s="427"/>
      <c r="Q62" s="427"/>
      <c r="X62" s="468">
        <f>'Benchmark Year Price'!F59</f>
        <v>139.23310184664359</v>
      </c>
      <c r="Y62" s="432">
        <f t="shared" si="4"/>
        <v>31640.337935022268</v>
      </c>
      <c r="Z62" s="549">
        <f t="shared" si="1"/>
        <v>11193.752626425197</v>
      </c>
      <c r="AA62" s="549">
        <f t="shared" si="2"/>
        <v>2048</v>
      </c>
      <c r="AB62" s="432">
        <f t="shared" si="6"/>
        <v>38678677.164043367</v>
      </c>
      <c r="AC62" s="432"/>
      <c r="AD62" s="432">
        <f t="shared" si="7"/>
        <v>38725114.075826541</v>
      </c>
      <c r="AI62" s="427">
        <f>'OPG TFP'!AA62</f>
        <v>28719794.981186245</v>
      </c>
      <c r="AJ62">
        <f t="shared" si="8"/>
        <v>1.3483771071901653</v>
      </c>
    </row>
    <row r="63" spans="1:36" x14ac:dyDescent="0.2">
      <c r="B63" s="18" t="s">
        <v>704</v>
      </c>
      <c r="C63" s="662">
        <v>1976</v>
      </c>
      <c r="H63" s="427"/>
      <c r="I63" s="427"/>
      <c r="K63" s="427">
        <f t="shared" si="3"/>
        <v>49068840.061114646</v>
      </c>
      <c r="L63" s="427">
        <v>55135000</v>
      </c>
      <c r="M63" s="427">
        <v>508000</v>
      </c>
      <c r="N63" s="361">
        <f>'Benchmark Year Price'!F10</f>
        <v>12.919994018177942</v>
      </c>
      <c r="O63" s="361">
        <f t="shared" si="5"/>
        <v>39318.903653149006</v>
      </c>
      <c r="P63" s="427"/>
      <c r="Q63" s="427"/>
      <c r="X63" s="468">
        <f>'Benchmark Year Price'!F60</f>
        <v>150.1002240342855</v>
      </c>
      <c r="Y63" s="432">
        <f t="shared" si="4"/>
        <v>326907.17403530638</v>
      </c>
      <c r="Z63" s="549">
        <f t="shared" si="1"/>
        <v>118776.3433666389</v>
      </c>
      <c r="AA63" s="549">
        <f t="shared" si="2"/>
        <v>2049</v>
      </c>
      <c r="AB63" s="432">
        <f t="shared" si="6"/>
        <v>38966265.434425518</v>
      </c>
      <c r="AC63" s="432"/>
      <c r="AD63" s="432">
        <f t="shared" si="7"/>
        <v>38678677.164043367</v>
      </c>
      <c r="AI63" s="427">
        <f>'OPG TFP'!AA63</f>
        <v>27996357.257821791</v>
      </c>
      <c r="AJ63">
        <f t="shared" si="8"/>
        <v>1.3815610655288764</v>
      </c>
    </row>
    <row r="64" spans="1:36" x14ac:dyDescent="0.2">
      <c r="B64" s="18" t="s">
        <v>704</v>
      </c>
      <c r="C64" s="662">
        <v>1977</v>
      </c>
      <c r="H64" s="427"/>
      <c r="I64" s="427"/>
      <c r="K64" s="427">
        <f t="shared" si="3"/>
        <v>53052373.716933079</v>
      </c>
      <c r="L64" s="427">
        <v>59611000</v>
      </c>
      <c r="M64" s="427">
        <v>1002000</v>
      </c>
      <c r="N64" s="361">
        <f>'Benchmark Year Price'!F11</f>
        <v>12.955409690795205</v>
      </c>
      <c r="O64" s="361">
        <f t="shared" si="5"/>
        <v>77342.208692320943</v>
      </c>
      <c r="P64" s="427"/>
      <c r="Q64" s="427"/>
      <c r="X64" s="468">
        <f>'Benchmark Year Price'!F61</f>
        <v>159.91199920366449</v>
      </c>
      <c r="Y64" s="432">
        <f t="shared" si="4"/>
        <v>331759.80527493363</v>
      </c>
      <c r="Z64" s="549">
        <f t="shared" si="1"/>
        <v>123794.16505181087</v>
      </c>
      <c r="AA64" s="549">
        <f t="shared" si="2"/>
        <v>2050</v>
      </c>
      <c r="AB64" s="432">
        <f t="shared" si="6"/>
        <v>39220683.031008132</v>
      </c>
      <c r="AC64" s="432"/>
      <c r="AD64" s="432">
        <f t="shared" si="7"/>
        <v>38966265.434425518</v>
      </c>
      <c r="AI64" s="427">
        <f>'OPG TFP'!AA64</f>
        <v>27587206.421152927</v>
      </c>
      <c r="AJ64">
        <f t="shared" si="8"/>
        <v>1.4124759440864414</v>
      </c>
    </row>
    <row r="65" spans="2:36" x14ac:dyDescent="0.2">
      <c r="B65" s="18" t="s">
        <v>704</v>
      </c>
      <c r="C65" s="662">
        <v>1978</v>
      </c>
      <c r="J65" s="662"/>
      <c r="K65" s="427">
        <f t="shared" si="3"/>
        <v>6818997.9604291366</v>
      </c>
      <c r="L65" s="427">
        <v>7662000</v>
      </c>
      <c r="M65" s="427">
        <v>33000</v>
      </c>
      <c r="N65" s="361">
        <f>'Benchmark Year Price'!F12</f>
        <v>13.80285509586651</v>
      </c>
      <c r="O65" s="361">
        <f t="shared" si="5"/>
        <v>2390.8097108026864</v>
      </c>
      <c r="P65" s="427"/>
      <c r="X65" s="468">
        <f>'Benchmark Year Price'!F62</f>
        <v>173.76160811942628</v>
      </c>
      <c r="Y65" s="432">
        <f t="shared" si="4"/>
        <v>39243.409601403102</v>
      </c>
      <c r="Z65" s="549">
        <f t="shared" si="1"/>
        <v>15038.82995622043</v>
      </c>
      <c r="AA65" s="549">
        <f t="shared" si="2"/>
        <v>2051</v>
      </c>
      <c r="AB65" s="432">
        <f t="shared" si="6"/>
        <v>39257535.630898736</v>
      </c>
      <c r="AC65" s="432"/>
      <c r="AD65" s="432">
        <f t="shared" si="7"/>
        <v>39220683.031008132</v>
      </c>
      <c r="AI65" s="427">
        <f>'OPG TFP'!AA65</f>
        <v>27193665.284871757</v>
      </c>
      <c r="AJ65">
        <f t="shared" si="8"/>
        <v>1.4422727727264917</v>
      </c>
    </row>
    <row r="66" spans="2:36" x14ac:dyDescent="0.2">
      <c r="B66" s="18" t="s">
        <v>704</v>
      </c>
      <c r="C66" s="662">
        <v>1979</v>
      </c>
      <c r="J66" s="662"/>
      <c r="K66" s="427">
        <f t="shared" si="3"/>
        <v>11658688.760326507</v>
      </c>
      <c r="L66" s="427">
        <v>13100000</v>
      </c>
      <c r="M66" s="427">
        <v>1061000</v>
      </c>
      <c r="N66" s="361">
        <f>'Benchmark Year Price'!F13</f>
        <v>13.840690825246181</v>
      </c>
      <c r="O66" s="361">
        <f t="shared" si="5"/>
        <v>76658.023316630817</v>
      </c>
      <c r="P66" s="427"/>
      <c r="X66" s="468">
        <f>'Benchmark Year Price'!F63</f>
        <v>195.76588928441967</v>
      </c>
      <c r="Y66" s="432">
        <f t="shared" si="4"/>
        <v>59554.24003100003</v>
      </c>
      <c r="Z66" s="549">
        <f t="shared" si="1"/>
        <v>23438.559139370507</v>
      </c>
      <c r="AA66" s="549">
        <f t="shared" si="2"/>
        <v>2052</v>
      </c>
      <c r="AB66" s="432">
        <f t="shared" si="6"/>
        <v>39240431.847613104</v>
      </c>
      <c r="AC66" s="432"/>
      <c r="AD66" s="432">
        <f t="shared" si="7"/>
        <v>39257535.630898736</v>
      </c>
      <c r="AI66" s="427">
        <f>'OPG TFP'!AA66</f>
        <v>26517954.424208388</v>
      </c>
      <c r="AJ66">
        <f t="shared" si="8"/>
        <v>1.480413421144593</v>
      </c>
    </row>
    <row r="67" spans="2:36" x14ac:dyDescent="0.2">
      <c r="B67" s="18" t="s">
        <v>704</v>
      </c>
      <c r="C67" s="662">
        <v>1980</v>
      </c>
      <c r="J67" s="662"/>
      <c r="K67" s="427">
        <f t="shared" si="3"/>
        <v>4113470.18704039</v>
      </c>
      <c r="L67" s="427">
        <v>4622000</v>
      </c>
      <c r="M67" s="729">
        <v>1000000</v>
      </c>
      <c r="N67" s="361">
        <f>'Benchmark Year Price'!F14</f>
        <v>13.878630268126265</v>
      </c>
      <c r="O67" s="361">
        <f t="shared" si="5"/>
        <v>72053.219999426394</v>
      </c>
      <c r="P67" s="427"/>
      <c r="X67" s="468">
        <f>'Benchmark Year Price'!F64</f>
        <v>218.20769049583737</v>
      </c>
      <c r="Y67" s="432">
        <f t="shared" si="4"/>
        <v>18851.169625109342</v>
      </c>
      <c r="Z67" s="549">
        <f t="shared" si="1"/>
        <v>7619.5168280453008</v>
      </c>
      <c r="AA67" s="549">
        <f t="shared" si="2"/>
        <v>2053</v>
      </c>
      <c r="AB67" s="432">
        <f t="shared" si="6"/>
        <v>39187229.797238789</v>
      </c>
      <c r="AC67" s="432"/>
      <c r="AD67" s="432">
        <f t="shared" si="7"/>
        <v>39240431.847613104</v>
      </c>
      <c r="AI67" s="427">
        <f>'OPG TFP'!AA67</f>
        <v>25880319.6477657</v>
      </c>
      <c r="AJ67">
        <f t="shared" si="8"/>
        <v>1.516226707462665</v>
      </c>
    </row>
    <row r="68" spans="2:36" x14ac:dyDescent="0.2">
      <c r="B68" s="18" t="s">
        <v>704</v>
      </c>
      <c r="C68" s="662">
        <v>1981</v>
      </c>
      <c r="D68" s="38"/>
      <c r="E68" s="38"/>
      <c r="F68" s="38"/>
      <c r="J68" s="662"/>
      <c r="K68" s="427">
        <f t="shared" si="3"/>
        <v>13284675.353083493</v>
      </c>
      <c r="L68" s="427">
        <v>14927000</v>
      </c>
      <c r="M68" s="729">
        <v>1000000</v>
      </c>
      <c r="N68" s="361">
        <f>'Benchmark Year Price'!F15</f>
        <v>13.098045843577669</v>
      </c>
      <c r="O68" s="361">
        <f t="shared" si="5"/>
        <v>76347.266755851786</v>
      </c>
      <c r="P68" s="427"/>
      <c r="X68" s="468">
        <f>'Benchmark Year Price'!F65</f>
        <v>238.35097813036745</v>
      </c>
      <c r="Y68" s="432">
        <f t="shared" si="4"/>
        <v>55735.770238028403</v>
      </c>
      <c r="Z68" s="549">
        <f t="shared" si="1"/>
        <v>23136.307426662581</v>
      </c>
      <c r="AA68" s="549">
        <f t="shared" si="2"/>
        <v>2054</v>
      </c>
      <c r="AB68" s="432">
        <f t="shared" si="6"/>
        <v>39166618.300720967</v>
      </c>
      <c r="AC68" s="432"/>
      <c r="AD68" s="432">
        <f t="shared" si="7"/>
        <v>39187229.797238789</v>
      </c>
      <c r="AI68" s="427">
        <f>'OPG TFP'!AA68</f>
        <v>25218745.988514174</v>
      </c>
      <c r="AJ68">
        <f t="shared" si="8"/>
        <v>1.5538928785391046</v>
      </c>
    </row>
    <row r="69" spans="2:36" x14ac:dyDescent="0.2">
      <c r="B69" s="18" t="s">
        <v>704</v>
      </c>
      <c r="C69" s="662">
        <v>1982</v>
      </c>
      <c r="D69" s="472"/>
      <c r="E69" s="38"/>
      <c r="F69" s="472"/>
      <c r="J69" s="662"/>
      <c r="K69" s="427">
        <f t="shared" si="3"/>
        <v>7620866.553792051</v>
      </c>
      <c r="L69" s="427">
        <v>8563000</v>
      </c>
      <c r="M69" s="729">
        <v>1000000</v>
      </c>
      <c r="N69" s="361">
        <f>'Benchmark Year Price'!F16</f>
        <v>11.492205885460596</v>
      </c>
      <c r="O69" s="361">
        <f t="shared" si="5"/>
        <v>87015.496412673354</v>
      </c>
      <c r="P69" s="427"/>
      <c r="X69" s="468">
        <f>'Benchmark Year Price'!F66</f>
        <v>253.92292370744164</v>
      </c>
      <c r="Y69" s="432">
        <f t="shared" si="4"/>
        <v>30012.518927091689</v>
      </c>
      <c r="Z69" s="549">
        <f t="shared" si="1"/>
        <v>12794.796828879269</v>
      </c>
      <c r="AA69" s="549">
        <f t="shared" si="2"/>
        <v>2055</v>
      </c>
      <c r="AB69" s="432">
        <f t="shared" si="6"/>
        <v>39109615.323235385</v>
      </c>
      <c r="AC69" s="432"/>
      <c r="AD69" s="432">
        <f t="shared" si="7"/>
        <v>39166618.300720967</v>
      </c>
      <c r="AI69" s="427">
        <f>'OPG TFP'!AA69</f>
        <v>24611450.4995846</v>
      </c>
      <c r="AJ69">
        <f t="shared" si="8"/>
        <v>1.5913982112261946</v>
      </c>
    </row>
    <row r="70" spans="2:36" x14ac:dyDescent="0.2">
      <c r="B70" s="18" t="s">
        <v>704</v>
      </c>
      <c r="C70" s="662">
        <v>1983</v>
      </c>
      <c r="J70" s="662"/>
      <c r="K70" s="427">
        <f t="shared" si="3"/>
        <v>19366772.985760693</v>
      </c>
      <c r="L70" s="427">
        <v>21761000</v>
      </c>
      <c r="M70" s="427">
        <v>1447000</v>
      </c>
      <c r="N70" s="361">
        <f>'Benchmark Year Price'!F17</f>
        <v>12.346829757011214</v>
      </c>
      <c r="O70" s="361">
        <f t="shared" si="5"/>
        <v>117196.07611648757</v>
      </c>
      <c r="P70" s="427"/>
      <c r="X70" s="468">
        <f>'Benchmark Year Price'!F67</f>
        <v>267.86674751848329</v>
      </c>
      <c r="Y70" s="432">
        <f t="shared" si="4"/>
        <v>72300.02665569511</v>
      </c>
      <c r="Z70" s="549">
        <f t="shared" si="1"/>
        <v>31654.853825574621</v>
      </c>
      <c r="AA70" s="549">
        <f t="shared" si="2"/>
        <v>2056</v>
      </c>
      <c r="AB70" s="432">
        <f t="shared" si="6"/>
        <v>39064719.273774594</v>
      </c>
      <c r="AC70" s="432"/>
      <c r="AD70" s="432">
        <f t="shared" si="7"/>
        <v>39109615.323235385</v>
      </c>
      <c r="AI70" s="427">
        <f>'OPG TFP'!AA70</f>
        <v>23994398.290467214</v>
      </c>
      <c r="AJ70">
        <f t="shared" si="8"/>
        <v>1.6299477423767417</v>
      </c>
    </row>
    <row r="71" spans="2:36" s="507" customFormat="1" x14ac:dyDescent="0.2">
      <c r="B71" s="507" t="s">
        <v>704</v>
      </c>
      <c r="C71" s="508">
        <v>1984</v>
      </c>
      <c r="D71" s="509">
        <f>E71*$G$136</f>
        <v>5807.9849503733421</v>
      </c>
      <c r="E71" s="509">
        <v>6526</v>
      </c>
      <c r="F71" s="509">
        <v>6526</v>
      </c>
      <c r="G71" s="509">
        <v>37260895</v>
      </c>
      <c r="H71" s="510">
        <f>I71*$G$136</f>
        <v>61016.812750734287</v>
      </c>
      <c r="I71" s="510">
        <f>((1000*$G$71*$J$71)/100)/1000</f>
        <v>68560.046799999996</v>
      </c>
      <c r="J71" s="508">
        <v>0.184</v>
      </c>
      <c r="K71" s="509">
        <f t="shared" si="3"/>
        <v>38952480.12686798</v>
      </c>
      <c r="L71" s="509">
        <v>43768000</v>
      </c>
      <c r="M71" s="729">
        <v>1000000</v>
      </c>
      <c r="N71" s="723">
        <f>'Benchmark Year Price'!F18</f>
        <v>13.206052585640645</v>
      </c>
      <c r="O71" s="723">
        <f t="shared" si="5"/>
        <v>75722.854616475728</v>
      </c>
      <c r="P71" s="509"/>
      <c r="R71" s="552">
        <v>57.2</v>
      </c>
      <c r="S71" s="552"/>
      <c r="T71" s="511"/>
      <c r="U71" s="438"/>
      <c r="V71" s="438"/>
      <c r="W71" s="538">
        <f t="shared" ref="W71:W87" si="9">W72*R71/R72</f>
        <v>0.63344407530454083</v>
      </c>
      <c r="X71" s="538">
        <f>'Benchmark Year Price'!F68</f>
        <v>277.44269678814175</v>
      </c>
      <c r="Y71" s="512">
        <f t="shared" si="4"/>
        <v>140398.28972904093</v>
      </c>
      <c r="Z71" s="549">
        <f t="shared" si="1"/>
        <v>63129.824257410968</v>
      </c>
      <c r="AA71" s="549">
        <f t="shared" si="2"/>
        <v>2057</v>
      </c>
      <c r="AB71" s="512">
        <f>AB70+(K71/X71)-O71</f>
        <v>39129394.70888716</v>
      </c>
      <c r="AC71" s="512"/>
      <c r="AD71" s="512">
        <f t="shared" si="7"/>
        <v>39064719.273774594</v>
      </c>
      <c r="AE71" s="511"/>
      <c r="AF71" s="511"/>
      <c r="AI71" s="427">
        <f>'OPG TFP'!AA71</f>
        <v>23435856.636147056</v>
      </c>
      <c r="AJ71">
        <f t="shared" si="8"/>
        <v>1.6668782319448845</v>
      </c>
    </row>
    <row r="72" spans="2:36" x14ac:dyDescent="0.2">
      <c r="B72" s="18" t="s">
        <v>704</v>
      </c>
      <c r="C72" s="662">
        <v>1985</v>
      </c>
      <c r="D72" s="427"/>
      <c r="E72" s="427"/>
      <c r="F72" s="427"/>
      <c r="G72" s="427"/>
      <c r="H72" s="435"/>
      <c r="I72" s="435">
        <f>((1000*G72*J72)/100)/1000</f>
        <v>0</v>
      </c>
      <c r="J72" s="662">
        <v>0.187</v>
      </c>
      <c r="K72" s="427">
        <f t="shared" si="3"/>
        <v>11466453.892217305</v>
      </c>
      <c r="L72" s="427">
        <v>12884000</v>
      </c>
      <c r="M72" s="427">
        <v>676000</v>
      </c>
      <c r="N72" s="361">
        <f>'Benchmark Year Price'!F19</f>
        <v>13.24225238838679</v>
      </c>
      <c r="O72" s="361">
        <f t="shared" si="5"/>
        <v>51048.717406476826</v>
      </c>
      <c r="P72" s="427"/>
      <c r="Q72" s="427"/>
      <c r="R72" s="462">
        <v>59.3</v>
      </c>
      <c r="S72" s="462"/>
      <c r="T72" s="434"/>
      <c r="U72" s="438"/>
      <c r="V72" s="438"/>
      <c r="W72" s="468">
        <f t="shared" si="9"/>
        <v>0.65669988925802913</v>
      </c>
      <c r="X72" s="468">
        <f>'Benchmark Year Price'!F69</f>
        <v>286.17746624557026</v>
      </c>
      <c r="Y72" s="432">
        <f t="shared" si="4"/>
        <v>40067.633705226413</v>
      </c>
      <c r="Z72" s="549">
        <f t="shared" si="1"/>
        <v>18502.796214374779</v>
      </c>
      <c r="AA72" s="549">
        <f t="shared" si="2"/>
        <v>2058</v>
      </c>
      <c r="AB72" s="432">
        <f t="shared" si="6"/>
        <v>39118413.625185914</v>
      </c>
      <c r="AC72" s="432"/>
      <c r="AD72" s="432">
        <f t="shared" si="7"/>
        <v>39129394.70888716</v>
      </c>
      <c r="AE72" s="434"/>
      <c r="AF72" s="434"/>
      <c r="AI72" s="427">
        <f>'OPG TFP'!AA72</f>
        <v>22960097.978888605</v>
      </c>
      <c r="AJ72">
        <f t="shared" si="8"/>
        <v>1.7042346572242824</v>
      </c>
    </row>
    <row r="73" spans="2:36" x14ac:dyDescent="0.2">
      <c r="B73" s="18" t="s">
        <v>704</v>
      </c>
      <c r="C73" s="662">
        <v>1986</v>
      </c>
      <c r="D73" s="427"/>
      <c r="E73" s="427"/>
      <c r="F73" s="427"/>
      <c r="I73" s="435">
        <f>((1000*G73*J73)/100)/1000</f>
        <v>0</v>
      </c>
      <c r="J73" s="662">
        <v>0.21299999999999999</v>
      </c>
      <c r="K73" s="427">
        <f t="shared" si="3"/>
        <v>12911775.308001293</v>
      </c>
      <c r="L73" s="427">
        <v>14508000</v>
      </c>
      <c r="M73" s="427">
        <v>940000</v>
      </c>
      <c r="N73" s="361">
        <f>'Benchmark Year Price'!F20</f>
        <v>14.108460884078452</v>
      </c>
      <c r="O73" s="361">
        <f t="shared" si="5"/>
        <v>66626.686477247131</v>
      </c>
      <c r="P73" s="427"/>
      <c r="Q73" s="427"/>
      <c r="R73">
        <v>61.6</v>
      </c>
      <c r="T73" s="438"/>
      <c r="U73" s="438"/>
      <c r="V73" s="438"/>
      <c r="W73" s="468">
        <f t="shared" si="9"/>
        <v>0.68217054263565924</v>
      </c>
      <c r="X73" s="468">
        <f>'Benchmark Year Price'!F70</f>
        <v>295.17796308539448</v>
      </c>
      <c r="Y73" s="432">
        <f t="shared" si="4"/>
        <v>43742.341647184337</v>
      </c>
      <c r="Z73" s="549">
        <f t="shared" si="1"/>
        <v>20745.151318512406</v>
      </c>
      <c r="AA73" s="549">
        <f t="shared" si="2"/>
        <v>2059</v>
      </c>
      <c r="AB73" s="432">
        <f t="shared" si="6"/>
        <v>39095529.280355856</v>
      </c>
      <c r="AC73" s="432"/>
      <c r="AD73" s="432">
        <f t="shared" si="7"/>
        <v>39118413.625185914</v>
      </c>
      <c r="AE73" s="438"/>
      <c r="AF73" s="438"/>
      <c r="AI73" s="427">
        <f>'OPG TFP'!AA73</f>
        <v>22396516.934721924</v>
      </c>
      <c r="AJ73">
        <f t="shared" si="8"/>
        <v>1.7466293414820937</v>
      </c>
    </row>
    <row r="74" spans="2:36" x14ac:dyDescent="0.2">
      <c r="B74" s="18" t="s">
        <v>704</v>
      </c>
      <c r="C74" s="662">
        <v>1987</v>
      </c>
      <c r="D74" s="427"/>
      <c r="E74" s="427"/>
      <c r="F74" s="427"/>
      <c r="G74" s="427"/>
      <c r="I74" s="435">
        <f t="shared" ref="I74:I83" si="10">((1000*G74*J74)/100)/1000</f>
        <v>0</v>
      </c>
      <c r="J74" s="662">
        <v>0.27600000000000002</v>
      </c>
      <c r="K74" s="427">
        <f t="shared" si="3"/>
        <v>21626422.662285045</v>
      </c>
      <c r="L74" s="427">
        <v>24300000</v>
      </c>
      <c r="M74" s="427">
        <v>4885000</v>
      </c>
      <c r="N74" s="361">
        <f>'Benchmark Year Price'!F21</f>
        <v>14.979318697586205</v>
      </c>
      <c r="O74" s="361">
        <f t="shared" si="5"/>
        <v>326116.30065572861</v>
      </c>
      <c r="P74" s="427"/>
      <c r="Q74" s="427"/>
      <c r="R74">
        <v>64.2</v>
      </c>
      <c r="T74" s="438"/>
      <c r="U74" s="438"/>
      <c r="V74" s="438"/>
      <c r="W74" s="468">
        <f t="shared" si="9"/>
        <v>0.71096345514950199</v>
      </c>
      <c r="X74" s="468">
        <f>'Benchmark Year Price'!F71</f>
        <v>310.49174589571345</v>
      </c>
      <c r="Y74" s="432">
        <f t="shared" si="4"/>
        <v>69652.166114421692</v>
      </c>
      <c r="Z74" s="549">
        <f t="shared" si="1"/>
        <v>33925.020104715069</v>
      </c>
      <c r="AA74" s="549">
        <f t="shared" si="2"/>
        <v>2060</v>
      </c>
      <c r="AB74" s="432">
        <f t="shared" si="6"/>
        <v>38839065.145814545</v>
      </c>
      <c r="AC74" s="432"/>
      <c r="AD74" s="432">
        <f t="shared" si="7"/>
        <v>39095529.280355856</v>
      </c>
      <c r="AE74" s="438"/>
      <c r="AF74" s="438"/>
      <c r="AI74" s="427">
        <f>'OPG TFP'!AA74</f>
        <v>21851427.824124798</v>
      </c>
      <c r="AJ74">
        <f t="shared" si="8"/>
        <v>1.7891521595304138</v>
      </c>
    </row>
    <row r="75" spans="2:36" x14ac:dyDescent="0.2">
      <c r="B75" s="18" t="s">
        <v>704</v>
      </c>
      <c r="C75" s="662">
        <v>1988</v>
      </c>
      <c r="D75" s="439"/>
      <c r="E75" s="567"/>
      <c r="F75" s="439"/>
      <c r="G75" s="439"/>
      <c r="H75" s="435"/>
      <c r="I75" s="435">
        <f t="shared" si="10"/>
        <v>0</v>
      </c>
      <c r="J75" s="492">
        <v>0.27</v>
      </c>
      <c r="K75" s="427">
        <f t="shared" si="3"/>
        <v>33989972.605678618</v>
      </c>
      <c r="L75" s="427">
        <v>38192000</v>
      </c>
      <c r="M75" s="427">
        <v>2095000</v>
      </c>
      <c r="N75" s="361">
        <f>'Benchmark Year Price'!F22</f>
        <v>15.020379292991819</v>
      </c>
      <c r="O75" s="361">
        <f t="shared" si="5"/>
        <v>139477.17025877509</v>
      </c>
      <c r="P75" s="439">
        <v>1899000000</v>
      </c>
      <c r="Q75" s="439"/>
      <c r="R75" s="462">
        <v>66.599999999999994</v>
      </c>
      <c r="S75" s="462"/>
      <c r="T75" s="434"/>
      <c r="U75" s="438"/>
      <c r="V75" s="438"/>
      <c r="W75" s="468">
        <f t="shared" si="9"/>
        <v>0.73754152823920294</v>
      </c>
      <c r="X75" s="468">
        <f>'Benchmark Year Price'!F72</f>
        <v>326.79175152733268</v>
      </c>
      <c r="Y75" s="432">
        <f t="shared" si="4"/>
        <v>104011.10935884718</v>
      </c>
      <c r="Z75" s="549">
        <f t="shared" ref="Z75:Z101" si="11">Y75*(1-$G$116)^(2014-C75)</f>
        <v>52027.879173114685</v>
      </c>
      <c r="AA75" s="549">
        <f t="shared" ref="AA75:AA101" si="12">C75+73</f>
        <v>2061</v>
      </c>
      <c r="AB75" s="432">
        <f t="shared" si="6"/>
        <v>38803599.084914617</v>
      </c>
      <c r="AC75" s="432"/>
      <c r="AD75" s="432">
        <f t="shared" si="7"/>
        <v>38839065.145814545</v>
      </c>
      <c r="AE75" s="434"/>
      <c r="AF75" s="434"/>
      <c r="AI75" s="427">
        <f>'OPG TFP'!AA75</f>
        <v>21346579.588377923</v>
      </c>
      <c r="AJ75">
        <f t="shared" si="8"/>
        <v>1.8194514481823754</v>
      </c>
    </row>
    <row r="76" spans="2:36" x14ac:dyDescent="0.2">
      <c r="B76" s="18" t="s">
        <v>704</v>
      </c>
      <c r="C76" s="350">
        <v>1989</v>
      </c>
      <c r="D76" s="427">
        <f t="shared" ref="D76:D88" si="13">E76*$G$136</f>
        <v>5805.3150216496024</v>
      </c>
      <c r="E76" s="427">
        <v>6523</v>
      </c>
      <c r="F76" s="427">
        <v>5775</v>
      </c>
      <c r="G76" s="427">
        <v>34300000</v>
      </c>
      <c r="H76" s="432">
        <f t="shared" ref="H76:H83" si="14">I76*$G$136</f>
        <v>83947.008955557074</v>
      </c>
      <c r="I76" s="435">
        <f t="shared" si="10"/>
        <v>94325</v>
      </c>
      <c r="J76" s="662">
        <v>0.27500000000000002</v>
      </c>
      <c r="K76" s="580">
        <f t="shared" si="3"/>
        <v>29809754.200544756</v>
      </c>
      <c r="L76" s="580">
        <f>P76-P75+0.005*P75</f>
        <v>33495000</v>
      </c>
      <c r="M76" s="580">
        <f>$M$105*P75</f>
        <v>9495000</v>
      </c>
      <c r="N76" s="724">
        <f>'Benchmark Year Price'!F23</f>
        <v>15.061552441747097</v>
      </c>
      <c r="O76" s="724">
        <f t="shared" si="5"/>
        <v>630413.10228300793</v>
      </c>
      <c r="P76" s="576">
        <v>1923000000</v>
      </c>
      <c r="Q76" s="38"/>
      <c r="R76">
        <v>69.599999999999994</v>
      </c>
      <c r="T76" s="438"/>
      <c r="U76" s="438"/>
      <c r="V76" s="438"/>
      <c r="W76" s="468">
        <f t="shared" si="9"/>
        <v>0.77076411960132918</v>
      </c>
      <c r="X76" s="468">
        <f>'Benchmark Year Price'!F73</f>
        <v>337.5275448711904</v>
      </c>
      <c r="Y76" s="432">
        <f t="shared" si="4"/>
        <v>88317.989608584277</v>
      </c>
      <c r="Z76" s="549">
        <f t="shared" si="11"/>
        <v>45370.804177770406</v>
      </c>
      <c r="AA76" s="549">
        <f t="shared" si="12"/>
        <v>2062</v>
      </c>
      <c r="AB76" s="432">
        <f t="shared" si="6"/>
        <v>38261503.972240195</v>
      </c>
      <c r="AC76" s="432"/>
      <c r="AD76" s="432">
        <f t="shared" si="7"/>
        <v>38803599.084914617</v>
      </c>
      <c r="AE76" s="438"/>
      <c r="AF76" s="438"/>
      <c r="AI76" s="427">
        <f>'OPG TFP'!AA76</f>
        <v>20889363.365106918</v>
      </c>
      <c r="AJ76">
        <f t="shared" si="8"/>
        <v>1.8575769115937348</v>
      </c>
    </row>
    <row r="77" spans="2:36" x14ac:dyDescent="0.2">
      <c r="B77" s="18" t="s">
        <v>704</v>
      </c>
      <c r="C77" s="350">
        <v>1990</v>
      </c>
      <c r="D77" s="427">
        <f t="shared" si="13"/>
        <v>5805.3150216496024</v>
      </c>
      <c r="E77" s="427">
        <v>6523</v>
      </c>
      <c r="F77" s="427">
        <v>5775</v>
      </c>
      <c r="G77" s="427">
        <v>35600000</v>
      </c>
      <c r="H77" s="427">
        <f t="shared" si="14"/>
        <v>85861.347850477861</v>
      </c>
      <c r="I77" s="435">
        <f t="shared" si="10"/>
        <v>96476</v>
      </c>
      <c r="J77" s="662">
        <v>0.27100000000000002</v>
      </c>
      <c r="K77" s="580">
        <f t="shared" si="3"/>
        <v>52165957.380651765</v>
      </c>
      <c r="L77" s="580">
        <f t="shared" ref="L77:L85" si="15">P77-P76+0.005*P76</f>
        <v>58615000</v>
      </c>
      <c r="M77" s="580">
        <f t="shared" ref="M77:M86" si="16">$M$105*P76</f>
        <v>9615000</v>
      </c>
      <c r="N77" s="724">
        <f>'Benchmark Year Price'!F24</f>
        <v>15.941885033065583</v>
      </c>
      <c r="O77" s="724">
        <f t="shared" si="5"/>
        <v>603128.17336577293</v>
      </c>
      <c r="P77" s="576">
        <v>1972000000</v>
      </c>
      <c r="Q77" s="38"/>
      <c r="R77">
        <v>72.3</v>
      </c>
      <c r="T77" s="438"/>
      <c r="U77" s="438"/>
      <c r="V77" s="438"/>
      <c r="W77" s="468">
        <f t="shared" si="9"/>
        <v>0.80066445182724277</v>
      </c>
      <c r="X77" s="468">
        <f>'Benchmark Year Price'!F74</f>
        <v>341.20818303562589</v>
      </c>
      <c r="Y77" s="432">
        <f t="shared" si="4"/>
        <v>152886.00911193583</v>
      </c>
      <c r="Z77" s="549">
        <f t="shared" si="11"/>
        <v>80661.436934225159</v>
      </c>
      <c r="AA77" s="549">
        <f t="shared" si="12"/>
        <v>2063</v>
      </c>
      <c r="AB77" s="432">
        <f t="shared" si="6"/>
        <v>37811261.807986356</v>
      </c>
      <c r="AC77" s="432"/>
      <c r="AD77" s="432">
        <f t="shared" si="7"/>
        <v>38261503.972240195</v>
      </c>
      <c r="AE77" s="438"/>
      <c r="AF77" s="438"/>
      <c r="AI77" s="427">
        <f>'OPG TFP'!AA77</f>
        <v>20428474.788239736</v>
      </c>
      <c r="AJ77">
        <f t="shared" si="8"/>
        <v>1.8729496141467485</v>
      </c>
    </row>
    <row r="78" spans="2:36" x14ac:dyDescent="0.2">
      <c r="B78" s="18" t="s">
        <v>704</v>
      </c>
      <c r="C78" s="350">
        <v>1991</v>
      </c>
      <c r="D78" s="427">
        <f t="shared" si="13"/>
        <v>5805.3150216496024</v>
      </c>
      <c r="E78" s="427">
        <v>6523</v>
      </c>
      <c r="F78" s="427">
        <v>5775</v>
      </c>
      <c r="G78" s="427">
        <v>33200000</v>
      </c>
      <c r="H78" s="427">
        <f t="shared" si="14"/>
        <v>88346.161516037522</v>
      </c>
      <c r="I78" s="435">
        <f t="shared" si="10"/>
        <v>99268</v>
      </c>
      <c r="J78" s="662">
        <v>0.29899999999999999</v>
      </c>
      <c r="K78" s="580">
        <f t="shared" si="3"/>
        <v>186770413.98794812</v>
      </c>
      <c r="L78" s="580">
        <f t="shared" si="15"/>
        <v>209860000</v>
      </c>
      <c r="M78" s="580">
        <f t="shared" si="16"/>
        <v>9860000</v>
      </c>
      <c r="N78" s="724">
        <f>'Benchmark Year Price'!F25</f>
        <v>16.826930704728767</v>
      </c>
      <c r="O78" s="724">
        <f t="shared" si="5"/>
        <v>585965.44866195391</v>
      </c>
      <c r="P78" s="576">
        <v>2172000000</v>
      </c>
      <c r="Q78" s="38"/>
      <c r="R78">
        <v>74.7</v>
      </c>
      <c r="T78" s="438">
        <v>553.15</v>
      </c>
      <c r="U78" s="438"/>
      <c r="V78" s="438"/>
      <c r="W78" s="468">
        <f t="shared" si="9"/>
        <v>0.82724252491694383</v>
      </c>
      <c r="X78" s="468">
        <f>'Benchmark Year Price'!F75</f>
        <v>342.89549138587614</v>
      </c>
      <c r="Y78" s="432">
        <f t="shared" si="4"/>
        <v>544686.1177237432</v>
      </c>
      <c r="Z78" s="549">
        <f t="shared" si="11"/>
        <v>295131.40468893957</v>
      </c>
      <c r="AA78" s="549">
        <f t="shared" si="12"/>
        <v>2064</v>
      </c>
      <c r="AB78" s="432">
        <f t="shared" si="6"/>
        <v>37769982.477048144</v>
      </c>
      <c r="AC78" s="432"/>
      <c r="AD78" s="432">
        <f t="shared" si="7"/>
        <v>37811261.807986356</v>
      </c>
      <c r="AE78" s="438"/>
      <c r="AF78" s="438"/>
      <c r="AI78" s="427">
        <f>'OPG TFP'!AA78</f>
        <v>20044271.547636833</v>
      </c>
      <c r="AJ78">
        <f t="shared" si="8"/>
        <v>1.8863874258600435</v>
      </c>
    </row>
    <row r="79" spans="2:36" x14ac:dyDescent="0.2">
      <c r="B79" s="18" t="s">
        <v>704</v>
      </c>
      <c r="C79" s="350">
        <v>1992</v>
      </c>
      <c r="D79" s="427">
        <f t="shared" si="13"/>
        <v>5805.3150216496024</v>
      </c>
      <c r="E79" s="427">
        <v>6523</v>
      </c>
      <c r="F79" s="427">
        <v>5775</v>
      </c>
      <c r="G79" s="427">
        <v>35300000</v>
      </c>
      <c r="H79" s="427">
        <f t="shared" si="14"/>
        <v>87965.251684784103</v>
      </c>
      <c r="I79" s="435">
        <f t="shared" si="10"/>
        <v>98840</v>
      </c>
      <c r="J79" s="492">
        <v>0.28000000000000003</v>
      </c>
      <c r="K79" s="580">
        <f t="shared" si="3"/>
        <v>50728645.751038991</v>
      </c>
      <c r="L79" s="580">
        <f>P79-P78+Q109*P78</f>
        <v>57000000</v>
      </c>
      <c r="M79" s="580">
        <f t="shared" si="16"/>
        <v>10860000</v>
      </c>
      <c r="N79" s="724">
        <f>'Benchmark Year Price'!F26</f>
        <v>17.716708680534087</v>
      </c>
      <c r="O79" s="724">
        <f t="shared" si="5"/>
        <v>612980.67241644207</v>
      </c>
      <c r="P79" s="576">
        <v>2229000000</v>
      </c>
      <c r="Q79" s="38"/>
      <c r="R79">
        <v>76.2</v>
      </c>
      <c r="T79" s="438">
        <v>572.41</v>
      </c>
      <c r="U79" s="112">
        <f t="shared" ref="U79:U88" si="17">LN(T79/T78)-LN(R79/R78)</f>
        <v>1.4344934795432234E-2</v>
      </c>
      <c r="V79" s="112"/>
      <c r="W79" s="468">
        <f t="shared" si="9"/>
        <v>0.84385382059800695</v>
      </c>
      <c r="X79" s="468">
        <f>'Benchmark Year Price'!F76</f>
        <v>345.56545784699756</v>
      </c>
      <c r="Y79" s="432">
        <f t="shared" si="4"/>
        <v>146798.9482140301</v>
      </c>
      <c r="Z79" s="549">
        <f t="shared" si="11"/>
        <v>81688.885340464069</v>
      </c>
      <c r="AA79" s="549">
        <f t="shared" si="12"/>
        <v>2065</v>
      </c>
      <c r="AB79" s="432">
        <f t="shared" si="6"/>
        <v>37303800.752845734</v>
      </c>
      <c r="AC79" s="432"/>
      <c r="AD79" s="432">
        <f t="shared" si="7"/>
        <v>37769982.477048144</v>
      </c>
      <c r="AE79" s="438"/>
      <c r="AF79" s="438"/>
      <c r="AI79" s="427">
        <f>'OPG TFP'!AA79</f>
        <v>20061969.582393255</v>
      </c>
      <c r="AJ79">
        <f t="shared" si="8"/>
        <v>1.8826657234190884</v>
      </c>
    </row>
    <row r="80" spans="2:36" x14ac:dyDescent="0.2">
      <c r="B80" s="18" t="s">
        <v>704</v>
      </c>
      <c r="C80" s="350">
        <v>1993</v>
      </c>
      <c r="D80" s="427">
        <f t="shared" si="13"/>
        <v>5805.3150216496024</v>
      </c>
      <c r="E80" s="427">
        <v>6523</v>
      </c>
      <c r="F80" s="427">
        <v>5775</v>
      </c>
      <c r="G80" s="427">
        <v>35700000</v>
      </c>
      <c r="H80" s="427">
        <f t="shared" si="14"/>
        <v>88008.860520605172</v>
      </c>
      <c r="I80" s="435">
        <f t="shared" si="10"/>
        <v>98889</v>
      </c>
      <c r="J80" s="662">
        <v>0.27700000000000002</v>
      </c>
      <c r="K80" s="580">
        <f t="shared" si="3"/>
        <v>118495886.64073837</v>
      </c>
      <c r="L80" s="580">
        <f t="shared" si="15"/>
        <v>133145000</v>
      </c>
      <c r="M80" s="580">
        <f t="shared" si="16"/>
        <v>11145000</v>
      </c>
      <c r="N80" s="724">
        <f>'Benchmark Year Price'!F27</f>
        <v>17.76527287906254</v>
      </c>
      <c r="O80" s="724">
        <f t="shared" si="5"/>
        <v>627347.52659696341</v>
      </c>
      <c r="P80" s="576">
        <v>2351000000</v>
      </c>
      <c r="Q80" s="38"/>
      <c r="R80">
        <v>77.599999999999994</v>
      </c>
      <c r="T80" s="438">
        <v>582.87</v>
      </c>
      <c r="U80" s="112">
        <f t="shared" si="17"/>
        <v>-9.7305403622086062E-5</v>
      </c>
      <c r="V80" s="112"/>
      <c r="W80" s="468">
        <f t="shared" si="9"/>
        <v>0.85935769656699901</v>
      </c>
      <c r="X80" s="468">
        <f>'Benchmark Year Price'!F77</f>
        <v>355.30591278864244</v>
      </c>
      <c r="Y80" s="432">
        <f t="shared" si="4"/>
        <v>333503.8409879402</v>
      </c>
      <c r="Z80" s="549">
        <f t="shared" si="11"/>
        <v>190595.1188332458</v>
      </c>
      <c r="AA80" s="549">
        <f t="shared" si="12"/>
        <v>2066</v>
      </c>
      <c r="AB80" s="432">
        <f t="shared" si="6"/>
        <v>37009957.067236714</v>
      </c>
      <c r="AC80" s="432"/>
      <c r="AD80" s="432">
        <f t="shared" si="7"/>
        <v>37303800.752845734</v>
      </c>
      <c r="AE80" s="438"/>
      <c r="AF80" s="438"/>
      <c r="AI80" s="427">
        <f>'OPG TFP'!AA80</f>
        <v>19709284.207718026</v>
      </c>
      <c r="AJ80">
        <f t="shared" si="8"/>
        <v>1.8927019550632798</v>
      </c>
    </row>
    <row r="81" spans="2:36" x14ac:dyDescent="0.2">
      <c r="B81" s="18" t="s">
        <v>704</v>
      </c>
      <c r="C81" s="350">
        <v>1994</v>
      </c>
      <c r="D81" s="427">
        <f t="shared" si="13"/>
        <v>5825.7844751982675</v>
      </c>
      <c r="E81" s="427">
        <v>6546</v>
      </c>
      <c r="F81" s="427">
        <v>5781</v>
      </c>
      <c r="G81" s="427">
        <v>34700000</v>
      </c>
      <c r="H81" s="427">
        <f t="shared" si="14"/>
        <v>94808.279003726901</v>
      </c>
      <c r="I81" s="435">
        <f t="shared" si="10"/>
        <v>106529</v>
      </c>
      <c r="J81" s="662">
        <v>0.307</v>
      </c>
      <c r="K81" s="580">
        <f t="shared" si="3"/>
        <v>58520387.743150339</v>
      </c>
      <c r="L81" s="580">
        <f t="shared" si="15"/>
        <v>65755000</v>
      </c>
      <c r="M81" s="580">
        <f t="shared" si="16"/>
        <v>11755000</v>
      </c>
      <c r="N81" s="724">
        <f>'Benchmark Year Price'!F28</f>
        <v>17.813970199460368</v>
      </c>
      <c r="O81" s="724">
        <f t="shared" si="5"/>
        <v>659875.36008991918</v>
      </c>
      <c r="P81" s="576">
        <v>2405000000</v>
      </c>
      <c r="Q81" s="38"/>
      <c r="R81">
        <v>78.900000000000006</v>
      </c>
      <c r="T81" s="438">
        <v>592.88</v>
      </c>
      <c r="U81" s="112">
        <f t="shared" si="17"/>
        <v>4.140400573164997E-4</v>
      </c>
      <c r="V81" s="112"/>
      <c r="W81" s="468">
        <f t="shared" si="9"/>
        <v>0.87375415282392055</v>
      </c>
      <c r="X81" s="468">
        <f>'Benchmark Year Price'!F78</f>
        <v>366.77895605240241</v>
      </c>
      <c r="Y81" s="432">
        <f t="shared" si="4"/>
        <v>159552.19561394199</v>
      </c>
      <c r="Z81" s="549">
        <f t="shared" si="11"/>
        <v>93645.007089706676</v>
      </c>
      <c r="AA81" s="549">
        <f t="shared" si="12"/>
        <v>2067</v>
      </c>
      <c r="AB81" s="432">
        <f t="shared" si="6"/>
        <v>36509633.902760737</v>
      </c>
      <c r="AC81" s="432"/>
      <c r="AD81" s="432">
        <f t="shared" si="7"/>
        <v>37009957.067236714</v>
      </c>
      <c r="AE81" s="438"/>
      <c r="AF81" s="438"/>
      <c r="AI81" s="427">
        <f>'OPG TFP'!AA81</f>
        <v>19524607.187076796</v>
      </c>
      <c r="AJ81">
        <f t="shared" si="8"/>
        <v>1.8955545027166207</v>
      </c>
    </row>
    <row r="82" spans="2:36" s="507" customFormat="1" x14ac:dyDescent="0.2">
      <c r="B82" s="507" t="s">
        <v>704</v>
      </c>
      <c r="C82" s="508">
        <v>1995</v>
      </c>
      <c r="D82" s="509">
        <f t="shared" si="13"/>
        <v>5840.9140712994549</v>
      </c>
      <c r="E82" s="509">
        <v>6563</v>
      </c>
      <c r="F82" s="509">
        <v>5783</v>
      </c>
      <c r="G82" s="509">
        <v>34400000</v>
      </c>
      <c r="H82" s="509">
        <f t="shared" si="14"/>
        <v>93376.307231561601</v>
      </c>
      <c r="I82" s="510">
        <f t="shared" si="10"/>
        <v>104920</v>
      </c>
      <c r="J82" s="508">
        <v>0.30499999999999999</v>
      </c>
      <c r="K82" s="597">
        <f t="shared" si="3"/>
        <v>105929422.11434063</v>
      </c>
      <c r="L82" s="597">
        <f t="shared" si="15"/>
        <v>119025000</v>
      </c>
      <c r="M82" s="510">
        <f t="shared" si="16"/>
        <v>12025000</v>
      </c>
      <c r="N82" s="725">
        <f>'Benchmark Year Price'!F29</f>
        <v>18.713410578379424</v>
      </c>
      <c r="O82" s="725">
        <f t="shared" si="5"/>
        <v>642587.30121024046</v>
      </c>
      <c r="P82" s="512">
        <v>2512000000</v>
      </c>
      <c r="R82" s="507">
        <v>79.8</v>
      </c>
      <c r="T82" s="514">
        <v>598.66999999999996</v>
      </c>
      <c r="U82" s="598">
        <f t="shared" si="17"/>
        <v>-1.6237661397730634E-3</v>
      </c>
      <c r="V82" s="598"/>
      <c r="W82" s="538">
        <f t="shared" si="9"/>
        <v>0.88372093023255838</v>
      </c>
      <c r="X82" s="538">
        <f>'Benchmark Year Price'!F79</f>
        <v>377.82091347501932</v>
      </c>
      <c r="Y82" s="512">
        <f t="shared" si="4"/>
        <v>280369.3981364122</v>
      </c>
      <c r="Z82" s="512">
        <f t="shared" si="11"/>
        <v>168998.69817133548</v>
      </c>
      <c r="AA82" s="512">
        <f t="shared" si="12"/>
        <v>2068</v>
      </c>
      <c r="AB82" s="512">
        <f t="shared" si="6"/>
        <v>36147415.999686912</v>
      </c>
      <c r="AC82" s="512"/>
      <c r="AD82" s="512">
        <f t="shared" si="7"/>
        <v>36509633.902760737</v>
      </c>
      <c r="AE82" s="514"/>
      <c r="AF82" s="514"/>
      <c r="AI82" s="427">
        <f>'OPG TFP'!AA82</f>
        <v>19170833.902752273</v>
      </c>
      <c r="AJ82">
        <f t="shared" si="8"/>
        <v>1.9044364000002738</v>
      </c>
    </row>
    <row r="83" spans="2:36" x14ac:dyDescent="0.2">
      <c r="B83" s="18" t="s">
        <v>704</v>
      </c>
      <c r="C83" s="350">
        <v>1996</v>
      </c>
      <c r="D83" s="450">
        <f t="shared" si="13"/>
        <v>5911.2221943579125</v>
      </c>
      <c r="E83" s="450">
        <v>6642</v>
      </c>
      <c r="F83" s="427">
        <v>5838</v>
      </c>
      <c r="G83" s="450">
        <v>36300000</v>
      </c>
      <c r="H83" s="427">
        <f t="shared" si="14"/>
        <v>100795.14917859074</v>
      </c>
      <c r="I83" s="435">
        <f t="shared" si="10"/>
        <v>113256</v>
      </c>
      <c r="J83" s="662">
        <v>0.312</v>
      </c>
      <c r="K83" s="580">
        <f t="shared" si="3"/>
        <v>41437293.792427644</v>
      </c>
      <c r="L83" s="580">
        <f t="shared" si="15"/>
        <v>46560000</v>
      </c>
      <c r="M83" s="580">
        <f t="shared" si="16"/>
        <v>12560000</v>
      </c>
      <c r="N83" s="724">
        <f>'Benchmark Year Price'!F30</f>
        <v>21.323530555349695</v>
      </c>
      <c r="O83" s="724">
        <f t="shared" si="5"/>
        <v>589020.65806588111</v>
      </c>
      <c r="P83" s="576">
        <v>2546000000</v>
      </c>
      <c r="Q83" s="38"/>
      <c r="R83">
        <v>80.8</v>
      </c>
      <c r="T83" s="438">
        <v>611.01</v>
      </c>
      <c r="U83" s="112">
        <f t="shared" si="17"/>
        <v>7.9493364712236777E-3</v>
      </c>
      <c r="V83" s="112"/>
      <c r="W83" s="468">
        <f t="shared" si="9"/>
        <v>0.89479512735326705</v>
      </c>
      <c r="X83" s="468">
        <f>'Benchmark Year Price'!F80</f>
        <v>388.02939499125745</v>
      </c>
      <c r="Y83" s="432">
        <f t="shared" si="4"/>
        <v>106789.05857985644</v>
      </c>
      <c r="Z83" s="549">
        <f t="shared" si="11"/>
        <v>66107.451591333142</v>
      </c>
      <c r="AA83" s="549">
        <f t="shared" si="12"/>
        <v>2069</v>
      </c>
      <c r="AB83" s="432">
        <f t="shared" si="6"/>
        <v>35665184.400200889</v>
      </c>
      <c r="AC83" s="432"/>
      <c r="AD83" s="432">
        <f t="shared" si="7"/>
        <v>36147415.999686912</v>
      </c>
      <c r="AE83" s="438"/>
      <c r="AF83" s="438"/>
      <c r="AI83" s="427">
        <f>'OPG TFP'!AA83</f>
        <v>18947178.94743257</v>
      </c>
      <c r="AJ83">
        <f t="shared" si="8"/>
        <v>1.9077993668595743</v>
      </c>
    </row>
    <row r="84" spans="2:36" s="38" customFormat="1" x14ac:dyDescent="0.2">
      <c r="B84" s="472" t="s">
        <v>704</v>
      </c>
      <c r="C84" s="350">
        <v>1997</v>
      </c>
      <c r="D84" s="497">
        <f t="shared" si="13"/>
        <v>5932.5816241478233</v>
      </c>
      <c r="E84" s="497">
        <v>6666</v>
      </c>
      <c r="F84" s="427">
        <v>5838</v>
      </c>
      <c r="G84" s="497">
        <v>35200000</v>
      </c>
      <c r="J84" s="498"/>
      <c r="K84" s="580">
        <f t="shared" si="3"/>
        <v>168855192.25166014</v>
      </c>
      <c r="L84" s="580">
        <f t="shared" si="15"/>
        <v>189730000</v>
      </c>
      <c r="M84" s="580">
        <f t="shared" si="16"/>
        <v>12730000</v>
      </c>
      <c r="N84" s="724">
        <f>'Benchmark Year Price'!F31</f>
        <v>24.803098658689393</v>
      </c>
      <c r="O84" s="724">
        <f t="shared" si="5"/>
        <v>513242.32408115815</v>
      </c>
      <c r="P84" s="439">
        <v>2723000000</v>
      </c>
      <c r="Q84" s="439"/>
      <c r="R84" s="38">
        <v>82</v>
      </c>
      <c r="T84" s="436">
        <v>623.42999999999995</v>
      </c>
      <c r="U84" s="112">
        <f t="shared" si="17"/>
        <v>5.3808819837544205E-3</v>
      </c>
      <c r="V84" s="112"/>
      <c r="W84" s="468">
        <f t="shared" si="9"/>
        <v>0.90808416389811752</v>
      </c>
      <c r="X84" s="475">
        <f>'Benchmark Year Price'!F81</f>
        <v>396.24501360342583</v>
      </c>
      <c r="Y84" s="437">
        <f t="shared" si="4"/>
        <v>426138.33980168542</v>
      </c>
      <c r="Z84" s="549">
        <f t="shared" si="11"/>
        <v>270922.56282008457</v>
      </c>
      <c r="AA84" s="549">
        <f t="shared" si="12"/>
        <v>2070</v>
      </c>
      <c r="AB84" s="437">
        <f t="shared" si="6"/>
        <v>35578080.415921412</v>
      </c>
      <c r="AC84" s="437"/>
      <c r="AD84" s="437">
        <f t="shared" si="7"/>
        <v>35665184.400200889</v>
      </c>
      <c r="AE84" s="436"/>
      <c r="AF84" s="436"/>
      <c r="AI84" s="427">
        <f>'OPG TFP'!AA84</f>
        <v>18555823.81117769</v>
      </c>
      <c r="AJ84">
        <f t="shared" si="8"/>
        <v>1.922048019162417</v>
      </c>
    </row>
    <row r="85" spans="2:36" s="38" customFormat="1" x14ac:dyDescent="0.2">
      <c r="B85" s="472" t="s">
        <v>704</v>
      </c>
      <c r="C85" s="350">
        <v>1998</v>
      </c>
      <c r="D85" s="497">
        <f t="shared" si="13"/>
        <v>5978.8603886926312</v>
      </c>
      <c r="E85" s="497">
        <v>6718</v>
      </c>
      <c r="F85" s="427">
        <v>5838</v>
      </c>
      <c r="G85" s="497">
        <v>31200000</v>
      </c>
      <c r="J85" s="350"/>
      <c r="K85" s="580">
        <f t="shared" si="3"/>
        <v>40596266.244449891</v>
      </c>
      <c r="L85" s="580">
        <f t="shared" si="15"/>
        <v>45615000</v>
      </c>
      <c r="M85" s="580">
        <f t="shared" si="16"/>
        <v>13615000</v>
      </c>
      <c r="N85" s="724">
        <f>'Benchmark Year Price'!F32</f>
        <v>28.301582591719672</v>
      </c>
      <c r="O85" s="724">
        <f t="shared" si="5"/>
        <v>481068.50406250445</v>
      </c>
      <c r="P85" s="439">
        <v>2755000000</v>
      </c>
      <c r="Q85" s="439"/>
      <c r="R85" s="38">
        <v>83.2</v>
      </c>
      <c r="T85" s="436">
        <v>632.72</v>
      </c>
      <c r="U85" s="112">
        <f t="shared" si="17"/>
        <v>2.6339627751910226E-4</v>
      </c>
      <c r="V85" s="112"/>
      <c r="W85" s="468">
        <f t="shared" si="9"/>
        <v>0.921373200442968</v>
      </c>
      <c r="X85" s="475">
        <f>'Benchmark Year Price'!F82</f>
        <v>398.75057467206932</v>
      </c>
      <c r="Y85" s="437">
        <f t="shared" si="4"/>
        <v>101808.67144288401</v>
      </c>
      <c r="Z85" s="549">
        <f t="shared" si="11"/>
        <v>66473.759834245167</v>
      </c>
      <c r="AA85" s="549">
        <f t="shared" si="12"/>
        <v>2071</v>
      </c>
      <c r="AB85" s="437">
        <f t="shared" si="6"/>
        <v>35198820.58330179</v>
      </c>
      <c r="AC85" s="437"/>
      <c r="AD85" s="437">
        <f t="shared" si="7"/>
        <v>35578080.415921412</v>
      </c>
      <c r="AE85" s="436"/>
      <c r="AF85" s="436"/>
      <c r="AI85" s="427">
        <f>'OPG TFP'!AA85</f>
        <v>18494107.154857811</v>
      </c>
      <c r="AJ85">
        <f t="shared" si="8"/>
        <v>1.9237522589229827</v>
      </c>
    </row>
    <row r="86" spans="2:36" s="38" customFormat="1" x14ac:dyDescent="0.2">
      <c r="B86" s="472" t="s">
        <v>31</v>
      </c>
      <c r="C86" s="350">
        <v>1999</v>
      </c>
      <c r="D86" s="497">
        <f t="shared" si="13"/>
        <v>6018.9093195487139</v>
      </c>
      <c r="E86" s="497">
        <v>6763</v>
      </c>
      <c r="F86" s="427">
        <v>5838</v>
      </c>
      <c r="G86" s="497">
        <v>33100000</v>
      </c>
      <c r="J86" s="350"/>
      <c r="K86" s="566">
        <f t="shared" si="3"/>
        <v>59213085.917587042</v>
      </c>
      <c r="L86" s="566">
        <f>49900000*12/9</f>
        <v>66533333.333333336</v>
      </c>
      <c r="M86" s="580">
        <f t="shared" si="16"/>
        <v>13775000</v>
      </c>
      <c r="N86" s="726">
        <f>'Benchmark Year Price'!F33</f>
        <v>29.239136134984086</v>
      </c>
      <c r="O86" s="726">
        <f t="shared" si="5"/>
        <v>471115.14979125757</v>
      </c>
      <c r="P86" s="439">
        <v>7266400000</v>
      </c>
      <c r="R86" s="38">
        <v>84.3</v>
      </c>
      <c r="T86" s="436">
        <v>640.47</v>
      </c>
      <c r="U86" s="112">
        <f t="shared" si="17"/>
        <v>-9.6022155946619281E-4</v>
      </c>
      <c r="V86" s="112"/>
      <c r="W86" s="468">
        <f t="shared" si="9"/>
        <v>0.93355481727574752</v>
      </c>
      <c r="X86" s="475">
        <f>'Benchmark Year Price'!F83</f>
        <v>409.47885562445003</v>
      </c>
      <c r="Y86" s="437">
        <f t="shared" si="4"/>
        <v>144605.96708293483</v>
      </c>
      <c r="Z86" s="549">
        <f t="shared" si="11"/>
        <v>96966.695504680305</v>
      </c>
      <c r="AA86" s="549">
        <f t="shared" si="12"/>
        <v>2072</v>
      </c>
      <c r="AB86" s="437">
        <f t="shared" si="6"/>
        <v>34872311.400593467</v>
      </c>
      <c r="AC86" s="437"/>
      <c r="AD86" s="437">
        <f t="shared" si="7"/>
        <v>35198820.58330179</v>
      </c>
      <c r="AE86" s="436"/>
      <c r="AF86" s="436"/>
      <c r="AI86" s="427">
        <f>'OPG TFP'!AA86</f>
        <v>18109683.435536671</v>
      </c>
      <c r="AJ86">
        <f t="shared" si="8"/>
        <v>1.9436463761829799</v>
      </c>
    </row>
    <row r="87" spans="2:36" s="38" customFormat="1" x14ac:dyDescent="0.2">
      <c r="B87" s="472" t="s">
        <v>31</v>
      </c>
      <c r="C87" s="350">
        <v>2000</v>
      </c>
      <c r="D87" s="497">
        <f t="shared" si="13"/>
        <v>6063.4081316110296</v>
      </c>
      <c r="E87" s="497">
        <v>6813</v>
      </c>
      <c r="F87" s="427">
        <v>5838</v>
      </c>
      <c r="G87" s="497">
        <v>34100000</v>
      </c>
      <c r="J87" s="350"/>
      <c r="K87" s="566">
        <f t="shared" si="3"/>
        <v>58738431.92225568</v>
      </c>
      <c r="L87" s="566">
        <v>66000000</v>
      </c>
      <c r="M87" s="580">
        <v>400000</v>
      </c>
      <c r="N87" s="726">
        <f>'Benchmark Year Price'!F34</f>
        <v>30.181616976811991</v>
      </c>
      <c r="O87" s="726">
        <f t="shared" si="5"/>
        <v>13253.100399071163</v>
      </c>
      <c r="P87" s="439">
        <v>7332900000</v>
      </c>
      <c r="R87" s="38">
        <v>86.5</v>
      </c>
      <c r="T87" s="436">
        <v>655.55</v>
      </c>
      <c r="U87" s="112">
        <f t="shared" si="17"/>
        <v>-2.4902528169556057E-3</v>
      </c>
      <c r="V87" s="112"/>
      <c r="W87" s="468">
        <f t="shared" si="9"/>
        <v>0.95791805094130678</v>
      </c>
      <c r="X87" s="475">
        <f>'Benchmark Year Price'!F84</f>
        <v>430.15673106929069</v>
      </c>
      <c r="Y87" s="437">
        <f t="shared" si="4"/>
        <v>136551.23279424856</v>
      </c>
      <c r="Z87" s="549">
        <f t="shared" si="11"/>
        <v>94037.898383581647</v>
      </c>
      <c r="AA87" s="549">
        <f t="shared" si="12"/>
        <v>2073</v>
      </c>
      <c r="AB87" s="437">
        <f t="shared" si="6"/>
        <v>34995609.532988645</v>
      </c>
      <c r="AC87" s="437"/>
      <c r="AD87" s="437">
        <f t="shared" si="7"/>
        <v>34872311.400593467</v>
      </c>
      <c r="AE87" s="436"/>
      <c r="AF87" s="436"/>
      <c r="AI87" s="427">
        <f>'OPG TFP'!AA87</f>
        <v>17778163.975254614</v>
      </c>
      <c r="AJ87">
        <f t="shared" si="8"/>
        <v>1.9615249048851253</v>
      </c>
    </row>
    <row r="88" spans="2:36" x14ac:dyDescent="0.2">
      <c r="B88" s="18" t="s">
        <v>31</v>
      </c>
      <c r="C88" s="350">
        <v>2001</v>
      </c>
      <c r="D88" s="497">
        <f t="shared" si="13"/>
        <v>6110.5768723970832</v>
      </c>
      <c r="E88" s="450">
        <v>6866</v>
      </c>
      <c r="F88" s="427">
        <v>5838</v>
      </c>
      <c r="G88" s="450">
        <v>33100000</v>
      </c>
      <c r="J88" s="662"/>
      <c r="K88" s="566">
        <f t="shared" si="3"/>
        <v>53843562.595401041</v>
      </c>
      <c r="L88" s="566">
        <v>60500000</v>
      </c>
      <c r="M88" s="566">
        <v>500000</v>
      </c>
      <c r="N88" s="726">
        <f>'Benchmark Year Price'!F35</f>
        <v>32.858436479093434</v>
      </c>
      <c r="O88" s="726">
        <f t="shared" si="5"/>
        <v>15216.792202457073</v>
      </c>
      <c r="P88" s="439">
        <v>7393900000</v>
      </c>
      <c r="Q88" s="439"/>
      <c r="R88">
        <v>88.2</v>
      </c>
      <c r="T88" s="438">
        <v>656.74</v>
      </c>
      <c r="U88" s="112">
        <f t="shared" si="17"/>
        <v>-1.7648925064697528E-2</v>
      </c>
      <c r="V88" s="112"/>
      <c r="W88" s="468">
        <f>W89*R88/R89</f>
        <v>0.9767441860465117</v>
      </c>
      <c r="X88" s="468">
        <f>'Benchmark Year Price'!F85</f>
        <v>436.38514478868342</v>
      </c>
      <c r="Y88" s="432">
        <f t="shared" si="4"/>
        <v>123385.41592994516</v>
      </c>
      <c r="Z88" s="549">
        <f t="shared" si="11"/>
        <v>87265.388540225584</v>
      </c>
      <c r="AA88" s="549">
        <f t="shared" si="12"/>
        <v>2074</v>
      </c>
      <c r="AB88" s="432">
        <f t="shared" si="6"/>
        <v>35103778.156716131</v>
      </c>
      <c r="AC88" s="432"/>
      <c r="AD88" s="432">
        <f t="shared" si="7"/>
        <v>34995609.532988645</v>
      </c>
      <c r="AE88" s="438"/>
      <c r="AF88" s="438"/>
      <c r="AI88" s="427">
        <f>'OPG TFP'!AA88</f>
        <v>17447305.82728228</v>
      </c>
      <c r="AJ88">
        <f t="shared" si="8"/>
        <v>2.0057887377812884</v>
      </c>
    </row>
    <row r="89" spans="2:36" s="507" customFormat="1" x14ac:dyDescent="0.2">
      <c r="B89" s="507" t="s">
        <v>31</v>
      </c>
      <c r="C89" s="508">
        <v>2002</v>
      </c>
      <c r="D89" s="512">
        <f t="shared" ref="D89:D96" si="18">E89*$G$133</f>
        <v>6383.5099999999984</v>
      </c>
      <c r="E89" s="512">
        <v>6898.5099999999984</v>
      </c>
      <c r="F89" s="509">
        <v>5838</v>
      </c>
      <c r="G89" s="512">
        <v>33900000</v>
      </c>
      <c r="H89" s="512">
        <f>I89*$G$133</f>
        <v>109088.24897132859</v>
      </c>
      <c r="I89" s="512">
        <v>117889.12</v>
      </c>
      <c r="J89" s="513">
        <f t="shared" ref="J89:J101" si="19">100*H89/G89</f>
        <v>0.32179424475318169</v>
      </c>
      <c r="K89" s="509">
        <f t="shared" ref="K89:K97" si="20">$G$133*L89</f>
        <v>84761711.73195371</v>
      </c>
      <c r="L89" s="509">
        <v>91600000</v>
      </c>
      <c r="M89" s="732">
        <v>8900000</v>
      </c>
      <c r="N89" s="723">
        <f>'Benchmark Year Price'!F36</f>
        <v>34.682638380131046</v>
      </c>
      <c r="O89" s="723">
        <f t="shared" si="5"/>
        <v>256612.54205789094</v>
      </c>
      <c r="P89" s="509">
        <v>7494400000</v>
      </c>
      <c r="Q89" s="509">
        <v>443500000</v>
      </c>
      <c r="R89" s="514">
        <v>90.3</v>
      </c>
      <c r="S89" s="514"/>
      <c r="T89" s="514">
        <f>'Can O&amp;M price indexes'!C15</f>
        <v>710.87</v>
      </c>
      <c r="U89" s="553">
        <f>AVERAGE(U79:U88)</f>
        <v>5.5321186007314602E-4</v>
      </c>
      <c r="V89" s="112"/>
      <c r="W89" s="538">
        <f>'Table 1'!F9</f>
        <v>1</v>
      </c>
      <c r="X89" s="538">
        <f>'Benchmark Year Price'!F86</f>
        <v>444.51551618786721</v>
      </c>
      <c r="Y89" s="512">
        <f t="shared" si="4"/>
        <v>190683.35894968075</v>
      </c>
      <c r="Z89" s="549">
        <f t="shared" si="11"/>
        <v>138503.86691484944</v>
      </c>
      <c r="AA89" s="549">
        <f t="shared" si="12"/>
        <v>2075</v>
      </c>
      <c r="AB89" s="512">
        <f t="shared" si="6"/>
        <v>35037848.97360792</v>
      </c>
      <c r="AC89" s="512"/>
      <c r="AD89" s="512">
        <f t="shared" si="7"/>
        <v>35103778.156716131</v>
      </c>
      <c r="AE89" s="514"/>
      <c r="AF89" s="514"/>
      <c r="AI89" s="427">
        <f>'OPG TFP'!AA89</f>
        <v>17111980.522345535</v>
      </c>
      <c r="AJ89">
        <f t="shared" si="8"/>
        <v>2.0514152707733717</v>
      </c>
    </row>
    <row r="90" spans="2:36" x14ac:dyDescent="0.2">
      <c r="B90" s="18" t="s">
        <v>31</v>
      </c>
      <c r="C90" s="662">
        <v>2003</v>
      </c>
      <c r="D90" s="432">
        <f t="shared" si="18"/>
        <v>6408.957020443544</v>
      </c>
      <c r="E90" s="432">
        <v>6926.0099999999984</v>
      </c>
      <c r="F90" s="427">
        <v>5838</v>
      </c>
      <c r="G90" s="432">
        <v>33100000</v>
      </c>
      <c r="H90" s="437">
        <f t="shared" ref="H90:H96" si="21">I90*$G$133</f>
        <v>120944.82453929978</v>
      </c>
      <c r="I90" s="437">
        <v>130702.24399</v>
      </c>
      <c r="J90" s="495">
        <f t="shared" si="19"/>
        <v>0.36539221915196307</v>
      </c>
      <c r="K90" s="439">
        <f t="shared" si="20"/>
        <v>36366105.579320751</v>
      </c>
      <c r="L90" s="439">
        <v>39300000</v>
      </c>
      <c r="M90" s="733">
        <v>23600000</v>
      </c>
      <c r="N90" s="727">
        <f>'Benchmark Year Price'!F37</f>
        <v>37.386036935900769</v>
      </c>
      <c r="O90" s="727">
        <f t="shared" si="5"/>
        <v>631251.71679637372</v>
      </c>
      <c r="P90" s="427"/>
      <c r="R90" s="436">
        <v>91.7</v>
      </c>
      <c r="S90" s="436"/>
      <c r="T90" s="436"/>
      <c r="U90" s="554" t="s">
        <v>762</v>
      </c>
      <c r="V90" s="436"/>
      <c r="W90" s="475">
        <f>'Table 1'!F10</f>
        <v>1.0216477671655084</v>
      </c>
      <c r="X90" s="475">
        <f>'Benchmark Year Price'!F87</f>
        <v>461.27109447466319</v>
      </c>
      <c r="Y90" s="432">
        <f t="shared" si="4"/>
        <v>78838.899759668944</v>
      </c>
      <c r="Z90" s="549">
        <f t="shared" si="11"/>
        <v>58811.271356081306</v>
      </c>
      <c r="AA90" s="549">
        <f t="shared" si="12"/>
        <v>2076</v>
      </c>
      <c r="AB90" s="432">
        <f t="shared" si="6"/>
        <v>34485436.156571217</v>
      </c>
      <c r="AC90" s="432"/>
      <c r="AD90" s="432">
        <f t="shared" si="7"/>
        <v>35037848.97360792</v>
      </c>
      <c r="AE90" s="436"/>
      <c r="AF90" s="436"/>
      <c r="AI90" s="427">
        <f>'OPG TFP'!AA90</f>
        <v>16852769.267274771</v>
      </c>
      <c r="AJ90">
        <f t="shared" si="8"/>
        <v>2.0790558760954201</v>
      </c>
    </row>
    <row r="91" spans="2:36" x14ac:dyDescent="0.2">
      <c r="B91" s="18" t="s">
        <v>31</v>
      </c>
      <c r="C91" s="662">
        <v>2004</v>
      </c>
      <c r="D91" s="432">
        <f t="shared" si="18"/>
        <v>6438.5680987778505</v>
      </c>
      <c r="E91" s="432">
        <v>6958.0099999999984</v>
      </c>
      <c r="F91" s="432">
        <v>5838</v>
      </c>
      <c r="G91" s="432">
        <v>35300000</v>
      </c>
      <c r="H91" s="437">
        <f t="shared" si="21"/>
        <v>122341.0606883751</v>
      </c>
      <c r="I91" s="437">
        <v>132211.12375</v>
      </c>
      <c r="J91" s="495">
        <f t="shared" si="19"/>
        <v>0.34657524274327223</v>
      </c>
      <c r="K91" s="439">
        <f t="shared" si="20"/>
        <v>111226612.99324057</v>
      </c>
      <c r="L91" s="439">
        <v>120200000</v>
      </c>
      <c r="M91" s="733">
        <v>5700000</v>
      </c>
      <c r="N91" s="727">
        <f>'Benchmark Year Price'!F38</f>
        <v>38.360343755229508</v>
      </c>
      <c r="O91" s="727">
        <f t="shared" si="5"/>
        <v>148590.95206160509</v>
      </c>
      <c r="P91" s="427"/>
      <c r="R91" s="436">
        <v>93.4</v>
      </c>
      <c r="S91" s="436"/>
      <c r="T91" s="436"/>
      <c r="U91" s="436"/>
      <c r="V91" s="436"/>
      <c r="W91" s="475">
        <f>'Table 1'!F11</f>
        <v>1.046469360323721</v>
      </c>
      <c r="X91" s="475">
        <f>'Benchmark Year Price'!F88</f>
        <v>482.9803033336969</v>
      </c>
      <c r="Y91" s="432">
        <f t="shared" si="4"/>
        <v>230292.23391826966</v>
      </c>
      <c r="Z91" s="549">
        <f t="shared" si="11"/>
        <v>176429.09791834932</v>
      </c>
      <c r="AA91" s="549">
        <f t="shared" si="12"/>
        <v>2077</v>
      </c>
      <c r="AB91" s="432">
        <f t="shared" si="6"/>
        <v>34567137.43842788</v>
      </c>
      <c r="AC91" s="432"/>
      <c r="AD91" s="432">
        <f t="shared" si="7"/>
        <v>34485436.156571217</v>
      </c>
      <c r="AE91" s="436"/>
      <c r="AF91" s="436"/>
      <c r="AI91" s="427">
        <f>'OPG TFP'!AA91</f>
        <v>16488528.529655509</v>
      </c>
      <c r="AJ91">
        <f t="shared" si="8"/>
        <v>2.0914805159567331</v>
      </c>
    </row>
    <row r="92" spans="2:36" x14ac:dyDescent="0.2">
      <c r="B92" s="18" t="s">
        <v>31</v>
      </c>
      <c r="C92" s="662">
        <v>2005</v>
      </c>
      <c r="D92" s="432">
        <f t="shared" si="18"/>
        <v>6406.7361895684708</v>
      </c>
      <c r="E92" s="432">
        <v>6923.6099999999988</v>
      </c>
      <c r="F92" s="432">
        <v>5787</v>
      </c>
      <c r="G92" s="432">
        <v>33400000</v>
      </c>
      <c r="H92" s="437">
        <f t="shared" si="21"/>
        <v>131758.62706965208</v>
      </c>
      <c r="I92" s="437">
        <v>142388.46754000001</v>
      </c>
      <c r="J92" s="495">
        <f t="shared" si="19"/>
        <v>0.39448690739416792</v>
      </c>
      <c r="K92" s="439">
        <f t="shared" si="20"/>
        <v>53670079.480931394</v>
      </c>
      <c r="L92" s="439">
        <v>58000000</v>
      </c>
      <c r="M92" s="733">
        <v>28100000</v>
      </c>
      <c r="N92" s="727">
        <f>'Benchmark Year Price'!F39</f>
        <v>40.213926908306824</v>
      </c>
      <c r="O92" s="727">
        <f t="shared" si="5"/>
        <v>698762.89535393519</v>
      </c>
      <c r="P92" s="427"/>
      <c r="R92" s="436">
        <v>95.4</v>
      </c>
      <c r="S92" s="436"/>
      <c r="T92" s="436"/>
      <c r="U92" s="436"/>
      <c r="V92" s="436"/>
      <c r="W92" s="475">
        <f>'Table 1'!F12</f>
        <v>1.0786967724726459</v>
      </c>
      <c r="X92" s="475">
        <f>'Benchmark Year Price'!F89</f>
        <v>501.64965580078785</v>
      </c>
      <c r="Y92" s="432">
        <f t="shared" si="4"/>
        <v>106987.17493438197</v>
      </c>
      <c r="Z92" s="549">
        <f t="shared" si="11"/>
        <v>84177.020337124923</v>
      </c>
      <c r="AA92" s="549">
        <f t="shared" si="12"/>
        <v>2078</v>
      </c>
      <c r="AB92" s="432">
        <f t="shared" si="6"/>
        <v>33975361.718008325</v>
      </c>
      <c r="AC92" s="432"/>
      <c r="AD92" s="432">
        <f t="shared" si="7"/>
        <v>34567137.43842788</v>
      </c>
      <c r="AE92" s="436"/>
      <c r="AF92" s="436"/>
      <c r="AI92" s="427">
        <f>'OPG TFP'!AA92</f>
        <v>16285317.454653598</v>
      </c>
      <c r="AJ92">
        <f t="shared" si="8"/>
        <v>2.122595247816319</v>
      </c>
    </row>
    <row r="93" spans="2:36" x14ac:dyDescent="0.2">
      <c r="B93" s="18" t="s">
        <v>31</v>
      </c>
      <c r="C93" s="662">
        <v>2006</v>
      </c>
      <c r="D93" s="437">
        <f t="shared" si="18"/>
        <v>6450.5975993511629</v>
      </c>
      <c r="E93" s="437">
        <v>6971.0099999999984</v>
      </c>
      <c r="F93" s="437">
        <v>5787</v>
      </c>
      <c r="G93" s="432">
        <v>34200000</v>
      </c>
      <c r="H93" s="437">
        <f t="shared" si="21"/>
        <v>144914.69335126973</v>
      </c>
      <c r="I93" s="437">
        <v>156605.92076000001</v>
      </c>
      <c r="J93" s="495">
        <f t="shared" si="19"/>
        <v>0.4237271735417244</v>
      </c>
      <c r="K93" s="439">
        <f t="shared" si="20"/>
        <v>51264179.366268948</v>
      </c>
      <c r="L93" s="439">
        <v>55400000</v>
      </c>
      <c r="M93" s="733">
        <v>2100000</v>
      </c>
      <c r="N93" s="727">
        <f>'Benchmark Year Price'!F40</f>
        <v>43.830608054983387</v>
      </c>
      <c r="O93" s="727">
        <f t="shared" si="5"/>
        <v>47911.724093940269</v>
      </c>
      <c r="P93" s="427"/>
      <c r="R93" s="436">
        <v>97.6</v>
      </c>
      <c r="S93" s="436"/>
      <c r="T93" s="436"/>
      <c r="U93" s="436"/>
      <c r="V93" s="436"/>
      <c r="W93" s="475">
        <f>'Table 1'!F13</f>
        <v>1.099250227385117</v>
      </c>
      <c r="X93" s="475">
        <f>'Benchmark Year Price'!F90</f>
        <v>521.41055483399225</v>
      </c>
      <c r="Y93" s="432">
        <f t="shared" si="4"/>
        <v>98318.261667316154</v>
      </c>
      <c r="Z93" s="549">
        <f t="shared" si="11"/>
        <v>79445.065620980677</v>
      </c>
      <c r="AA93" s="549">
        <f t="shared" si="12"/>
        <v>2079</v>
      </c>
      <c r="AB93" s="432">
        <f t="shared" si="6"/>
        <v>34025768.255581699</v>
      </c>
      <c r="AC93" s="432"/>
      <c r="AD93" s="432">
        <f t="shared" si="7"/>
        <v>33975361.718008325</v>
      </c>
      <c r="AE93" s="436"/>
      <c r="AF93" s="436"/>
      <c r="AI93" s="427">
        <f>'OPG TFP'!AA93</f>
        <v>15964143.985009504</v>
      </c>
      <c r="AJ93">
        <f t="shared" si="8"/>
        <v>2.1282294716153611</v>
      </c>
    </row>
    <row r="94" spans="2:36" x14ac:dyDescent="0.2">
      <c r="B94" s="18" t="s">
        <v>31</v>
      </c>
      <c r="C94" s="662">
        <v>2007</v>
      </c>
      <c r="D94" s="437">
        <f t="shared" si="18"/>
        <v>6450.4125301115737</v>
      </c>
      <c r="E94" s="437">
        <v>6970.8099999999986</v>
      </c>
      <c r="F94" s="437">
        <v>5787</v>
      </c>
      <c r="G94" s="432">
        <v>32900000</v>
      </c>
      <c r="H94" s="437">
        <f t="shared" si="21"/>
        <v>152639.65153788275</v>
      </c>
      <c r="I94" s="437">
        <v>164954.10245000001</v>
      </c>
      <c r="J94" s="495">
        <f t="shared" si="19"/>
        <v>0.4639503086257834</v>
      </c>
      <c r="K94" s="439">
        <f t="shared" si="20"/>
        <v>77266407.52858226</v>
      </c>
      <c r="L94" s="439">
        <v>83500000</v>
      </c>
      <c r="M94" s="733">
        <v>8700000</v>
      </c>
      <c r="N94" s="727">
        <f>'Benchmark Year Price'!F41</f>
        <v>46.587799697356402</v>
      </c>
      <c r="O94" s="727">
        <f t="shared" si="5"/>
        <v>186744.17028743422</v>
      </c>
      <c r="P94" s="427">
        <v>7901600000</v>
      </c>
      <c r="R94" s="436">
        <v>100</v>
      </c>
      <c r="S94" s="436"/>
      <c r="T94" s="436"/>
      <c r="U94" s="436"/>
      <c r="V94" s="436"/>
      <c r="W94" s="475">
        <f>'Table 1'!F14</f>
        <v>1.1354504219317154</v>
      </c>
      <c r="X94" s="475">
        <f>'Benchmark Year Price'!F91</f>
        <v>553.70508034527188</v>
      </c>
      <c r="Y94" s="432">
        <f t="shared" si="4"/>
        <v>139544.33555206234</v>
      </c>
      <c r="Z94" s="549">
        <f t="shared" si="11"/>
        <v>115801.94578593253</v>
      </c>
      <c r="AA94" s="549">
        <f t="shared" si="12"/>
        <v>2080</v>
      </c>
      <c r="AB94" s="432">
        <f t="shared" si="6"/>
        <v>33978568.420846321</v>
      </c>
      <c r="AC94" s="432"/>
      <c r="AD94" s="432">
        <f t="shared" si="7"/>
        <v>34025768.255581699</v>
      </c>
      <c r="AE94" s="436"/>
      <c r="AF94" s="436"/>
      <c r="AI94" s="427">
        <f>'OPG TFP'!AA94</f>
        <v>15642745.640120154</v>
      </c>
      <c r="AJ94">
        <f t="shared" si="8"/>
        <v>2.1751787722171478</v>
      </c>
    </row>
    <row r="95" spans="2:36" x14ac:dyDescent="0.2">
      <c r="B95" s="18" t="s">
        <v>31</v>
      </c>
      <c r="C95" s="662">
        <v>2008</v>
      </c>
      <c r="D95" s="437">
        <f t="shared" si="18"/>
        <v>6476.6460948233753</v>
      </c>
      <c r="E95" s="437">
        <v>6999.16</v>
      </c>
      <c r="F95" s="437">
        <v>5838</v>
      </c>
      <c r="G95" s="432">
        <v>37400000</v>
      </c>
      <c r="H95" s="437">
        <f t="shared" si="21"/>
        <v>171873.27697871608</v>
      </c>
      <c r="I95" s="437">
        <v>185739.43175000002</v>
      </c>
      <c r="J95" s="495">
        <f t="shared" si="19"/>
        <v>0.45955421652063122</v>
      </c>
      <c r="K95" s="439">
        <f t="shared" si="20"/>
        <v>53114871.762163132</v>
      </c>
      <c r="L95" s="439">
        <v>57400000</v>
      </c>
      <c r="M95" s="733">
        <v>14600000</v>
      </c>
      <c r="N95" s="727">
        <f>'Benchmark Year Price'!F42</f>
        <v>48.478353162229681</v>
      </c>
      <c r="O95" s="727">
        <f t="shared" si="5"/>
        <v>301165.34592546994</v>
      </c>
      <c r="P95" s="427"/>
      <c r="R95" s="436">
        <v>102.5</v>
      </c>
      <c r="S95" s="436"/>
      <c r="T95" s="436"/>
      <c r="U95" s="436"/>
      <c r="V95" s="436"/>
      <c r="W95" s="475">
        <f>'Table 1'!F15</f>
        <v>1.1628231376944895</v>
      </c>
      <c r="X95" s="475">
        <f>'Benchmark Year Price'!F92</f>
        <v>594.65453627498891</v>
      </c>
      <c r="Y95" s="432">
        <f t="shared" si="4"/>
        <v>89320.552559614167</v>
      </c>
      <c r="Z95" s="549">
        <f t="shared" si="11"/>
        <v>76124.763016076467</v>
      </c>
      <c r="AA95" s="549">
        <f t="shared" si="12"/>
        <v>2081</v>
      </c>
      <c r="AB95" s="432">
        <f t="shared" si="6"/>
        <v>33766723.627480462</v>
      </c>
      <c r="AC95" s="432"/>
      <c r="AD95" s="432">
        <f t="shared" si="7"/>
        <v>33978568.420846321</v>
      </c>
      <c r="AE95" s="436"/>
      <c r="AF95" s="436"/>
      <c r="AI95" s="427">
        <f>'OPG TFP'!AA95</f>
        <v>15371023.319378875</v>
      </c>
      <c r="AJ95">
        <f t="shared" si="8"/>
        <v>2.210559942226368</v>
      </c>
    </row>
    <row r="96" spans="2:36" x14ac:dyDescent="0.2">
      <c r="B96" s="18" t="s">
        <v>31</v>
      </c>
      <c r="C96" s="662">
        <v>2009</v>
      </c>
      <c r="D96" s="437">
        <f t="shared" si="18"/>
        <v>6389.7218490268178</v>
      </c>
      <c r="E96" s="437">
        <v>6905.222999999999</v>
      </c>
      <c r="F96" s="437">
        <v>5725</v>
      </c>
      <c r="G96" s="432">
        <v>36300000</v>
      </c>
      <c r="H96" s="437">
        <f t="shared" si="21"/>
        <v>171278.64600485316</v>
      </c>
      <c r="I96" s="437">
        <v>185096.82796</v>
      </c>
      <c r="J96" s="495">
        <f t="shared" si="19"/>
        <v>0.47184200001336962</v>
      </c>
      <c r="K96" s="439">
        <f t="shared" si="20"/>
        <v>89851115.820662722</v>
      </c>
      <c r="L96" s="439">
        <v>97100000</v>
      </c>
      <c r="M96" s="733">
        <v>19100000</v>
      </c>
      <c r="N96" s="727">
        <f>'Benchmark Year Price'!F43</f>
        <v>50.378921160603916</v>
      </c>
      <c r="O96" s="727">
        <f t="shared" si="5"/>
        <v>379126.81653326296</v>
      </c>
      <c r="P96" s="427"/>
      <c r="R96" s="436">
        <v>103.7</v>
      </c>
      <c r="S96" s="436"/>
      <c r="T96" s="436"/>
      <c r="U96" s="436"/>
      <c r="V96" s="436"/>
      <c r="W96" s="475">
        <f>'Table 1'!F16</f>
        <v>1.177420350781766</v>
      </c>
      <c r="X96" s="475">
        <f>'Benchmark Year Price'!F93</f>
        <v>575.19033724568874</v>
      </c>
      <c r="Y96" s="432">
        <f t="shared" si="4"/>
        <v>156211.10092168223</v>
      </c>
      <c r="Z96" s="549">
        <f t="shared" si="11"/>
        <v>136727.96614851805</v>
      </c>
      <c r="AA96" s="549">
        <f t="shared" si="12"/>
        <v>2082</v>
      </c>
      <c r="AB96" s="432">
        <f t="shared" si="6"/>
        <v>33543807.911868881</v>
      </c>
      <c r="AC96" s="432"/>
      <c r="AD96" s="432">
        <f t="shared" si="7"/>
        <v>33766723.627480462</v>
      </c>
      <c r="AE96" s="436"/>
      <c r="AF96" s="436"/>
      <c r="AI96" s="427">
        <f>'OPG TFP'!AA96</f>
        <v>15056221.123298092</v>
      </c>
      <c r="AJ96">
        <f t="shared" si="8"/>
        <v>2.242709066966984</v>
      </c>
    </row>
    <row r="97" spans="2:38" s="59" customFormat="1" x14ac:dyDescent="0.2">
      <c r="B97" s="581" t="s">
        <v>31</v>
      </c>
      <c r="C97" s="570">
        <v>2010</v>
      </c>
      <c r="D97" s="582">
        <f>E97*$G$133</f>
        <v>6390.0429441575052</v>
      </c>
      <c r="E97" s="582">
        <v>6905.5699999999988</v>
      </c>
      <c r="F97" s="582">
        <v>5713</v>
      </c>
      <c r="G97" s="583">
        <v>30500000</v>
      </c>
      <c r="H97" s="582">
        <f>I97*$G$133</f>
        <v>170905.07032024057</v>
      </c>
      <c r="I97" s="582">
        <v>184693.11345245526</v>
      </c>
      <c r="J97" s="584">
        <f t="shared" si="19"/>
        <v>0.56034449285324772</v>
      </c>
      <c r="K97" s="585">
        <f t="shared" si="20"/>
        <v>126679894.49895702</v>
      </c>
      <c r="L97" s="585">
        <v>136900000</v>
      </c>
      <c r="M97" s="734">
        <v>12600000</v>
      </c>
      <c r="N97" s="728">
        <f>'Benchmark Year Price'!F44</f>
        <v>51.403280925510415</v>
      </c>
      <c r="O97" s="728">
        <f t="shared" si="5"/>
        <v>245120.54042345911</v>
      </c>
      <c r="P97" s="586"/>
      <c r="R97" s="587">
        <v>104.8</v>
      </c>
      <c r="S97" s="587"/>
      <c r="T97" s="587"/>
      <c r="U97" s="587"/>
      <c r="V97" s="587"/>
      <c r="W97" s="588">
        <f>'Table 1'!F17</f>
        <v>1.2104167536102524</v>
      </c>
      <c r="X97" s="588">
        <f>'Benchmark Year Price'!F94</f>
        <v>596.45766168495584</v>
      </c>
      <c r="Y97" s="583">
        <f t="shared" si="4"/>
        <v>212387.06891800868</v>
      </c>
      <c r="Z97" s="589">
        <f t="shared" si="11"/>
        <v>190916.92895629728</v>
      </c>
      <c r="AA97" s="589">
        <f t="shared" si="12"/>
        <v>2083</v>
      </c>
      <c r="AB97" s="583">
        <f t="shared" si="6"/>
        <v>33511074.440363429</v>
      </c>
      <c r="AC97" s="583"/>
      <c r="AD97" s="583">
        <f t="shared" si="7"/>
        <v>33543807.911868881</v>
      </c>
      <c r="AE97" s="587"/>
      <c r="AF97" s="587"/>
      <c r="AI97" s="427">
        <f>'OPG TFP'!AA97</f>
        <v>14816586.005132087</v>
      </c>
      <c r="AJ97">
        <f t="shared" si="8"/>
        <v>2.2639363683543676</v>
      </c>
    </row>
    <row r="98" spans="2:38" x14ac:dyDescent="0.2">
      <c r="B98" s="18" t="s">
        <v>31</v>
      </c>
      <c r="C98" s="662">
        <v>2011</v>
      </c>
      <c r="D98" s="437">
        <v>6422</v>
      </c>
      <c r="E98" s="437">
        <v>6422</v>
      </c>
      <c r="F98" s="437">
        <v>5284</v>
      </c>
      <c r="G98" s="432">
        <v>31300000</v>
      </c>
      <c r="H98" s="437">
        <f>I98</f>
        <v>174610.63867432124</v>
      </c>
      <c r="I98" s="437">
        <v>174610.63867432124</v>
      </c>
      <c r="J98" s="495">
        <f t="shared" si="19"/>
        <v>0.55786146541316695</v>
      </c>
      <c r="K98" s="439">
        <v>134600000</v>
      </c>
      <c r="L98" s="439">
        <v>134600000</v>
      </c>
      <c r="M98" s="733">
        <v>8500000</v>
      </c>
      <c r="N98" s="727">
        <f>'Benchmark Year Price'!F45</f>
        <v>51.544185152412517</v>
      </c>
      <c r="O98" s="727">
        <f t="shared" si="5"/>
        <v>164907.05934852012</v>
      </c>
      <c r="P98" s="427"/>
      <c r="R98" s="436">
        <v>107.3</v>
      </c>
      <c r="S98" s="436"/>
      <c r="T98" s="436"/>
      <c r="U98" s="436"/>
      <c r="V98" s="436"/>
      <c r="W98" s="475">
        <f>'Table 1'!F18</f>
        <v>1.2315008058407915</v>
      </c>
      <c r="X98" s="475">
        <f>'Benchmark Year Price'!F95</f>
        <v>622.32193486427934</v>
      </c>
      <c r="Y98" s="432">
        <f t="shared" si="4"/>
        <v>216286.76808468046</v>
      </c>
      <c r="Z98" s="549">
        <f t="shared" si="11"/>
        <v>199672.02730592835</v>
      </c>
      <c r="AA98" s="549">
        <f t="shared" si="12"/>
        <v>2084</v>
      </c>
      <c r="AB98" s="432">
        <f t="shared" si="6"/>
        <v>33562454.149099588</v>
      </c>
      <c r="AC98" s="432"/>
      <c r="AD98" s="432">
        <f t="shared" si="7"/>
        <v>33511074.440363429</v>
      </c>
      <c r="AE98" s="436"/>
      <c r="AF98" s="436"/>
      <c r="AI98" s="427">
        <f>'OPG TFP'!AA98</f>
        <v>14639427.151345531</v>
      </c>
      <c r="AJ98">
        <f t="shared" si="8"/>
        <v>2.2890973870711449</v>
      </c>
    </row>
    <row r="99" spans="2:38" x14ac:dyDescent="0.2">
      <c r="B99" s="18" t="s">
        <v>31</v>
      </c>
      <c r="C99" s="662">
        <v>2012</v>
      </c>
      <c r="D99" s="437">
        <v>6422</v>
      </c>
      <c r="E99" s="437">
        <v>6422</v>
      </c>
      <c r="F99" s="437">
        <v>5284</v>
      </c>
      <c r="G99" s="432">
        <v>29500000</v>
      </c>
      <c r="H99" s="437">
        <f t="shared" ref="H99:H101" si="22">I99</f>
        <v>178134.19656786445</v>
      </c>
      <c r="I99" s="437">
        <v>178134.19656786445</v>
      </c>
      <c r="J99" s="495">
        <f t="shared" si="19"/>
        <v>0.60384473412835404</v>
      </c>
      <c r="K99" s="439">
        <v>59900000</v>
      </c>
      <c r="L99" s="439">
        <v>59900000</v>
      </c>
      <c r="M99" s="733">
        <v>13700000</v>
      </c>
      <c r="N99" s="727">
        <f>'Benchmark Year Price'!F46</f>
        <v>52.51404233942629</v>
      </c>
      <c r="O99" s="727">
        <f t="shared" si="5"/>
        <v>260882.60186579404</v>
      </c>
      <c r="P99" s="427">
        <v>7750200000</v>
      </c>
      <c r="R99" s="436">
        <v>109.1</v>
      </c>
      <c r="S99" s="436"/>
      <c r="T99" s="436"/>
      <c r="U99" s="436"/>
      <c r="V99" s="436"/>
      <c r="W99" s="475">
        <f>'Table 1'!F19</f>
        <v>1.2501652753742629</v>
      </c>
      <c r="X99" s="475">
        <f>'Benchmark Year Price'!F96</f>
        <v>638.98890057236974</v>
      </c>
      <c r="Y99" s="432">
        <f t="shared" si="4"/>
        <v>93741.847387873247</v>
      </c>
      <c r="Z99" s="549">
        <f t="shared" si="11"/>
        <v>88877.471794475627</v>
      </c>
      <c r="AA99" s="549">
        <f t="shared" si="12"/>
        <v>2085</v>
      </c>
      <c r="AB99" s="432">
        <f t="shared" si="6"/>
        <v>33395313.394621667</v>
      </c>
      <c r="AC99" s="432"/>
      <c r="AD99" s="432">
        <f t="shared" si="7"/>
        <v>33562454.149099588</v>
      </c>
      <c r="AE99" s="436"/>
      <c r="AF99" s="436"/>
      <c r="AI99" s="427">
        <f>'OPG TFP'!AA99</f>
        <v>14470825.716738857</v>
      </c>
      <c r="AJ99">
        <f t="shared" si="8"/>
        <v>2.3193185244624188</v>
      </c>
    </row>
    <row r="100" spans="2:38" x14ac:dyDescent="0.2">
      <c r="B100" s="18" t="s">
        <v>31</v>
      </c>
      <c r="C100" s="662">
        <v>2013</v>
      </c>
      <c r="D100" s="437">
        <v>6433</v>
      </c>
      <c r="E100" s="437">
        <v>6433</v>
      </c>
      <c r="F100" s="437">
        <v>5284</v>
      </c>
      <c r="G100" s="432">
        <v>31400000</v>
      </c>
      <c r="H100" s="437">
        <f t="shared" si="22"/>
        <v>182583.69005</v>
      </c>
      <c r="I100" s="437">
        <v>182583.69005</v>
      </c>
      <c r="J100" s="495">
        <f t="shared" si="19"/>
        <v>0.58147671990445859</v>
      </c>
      <c r="K100" s="439">
        <v>1559100000</v>
      </c>
      <c r="L100" s="439">
        <v>1559100000</v>
      </c>
      <c r="M100" s="733">
        <v>9000000</v>
      </c>
      <c r="N100" s="727">
        <f>'Benchmark Year Price'!F47</f>
        <v>53.843504762993959</v>
      </c>
      <c r="O100" s="727">
        <f t="shared" si="5"/>
        <v>167151.08051780463</v>
      </c>
      <c r="P100" s="427">
        <v>9300300000</v>
      </c>
      <c r="R100" s="436">
        <v>111</v>
      </c>
      <c r="S100" s="436"/>
      <c r="T100" s="436"/>
      <c r="U100" s="436"/>
      <c r="V100" s="436"/>
      <c r="W100" s="475">
        <f>'Table 1'!F20</f>
        <v>1.2704232442229755</v>
      </c>
      <c r="X100" s="475">
        <f>'Benchmark Year Price'!F97</f>
        <v>646.60346255596494</v>
      </c>
      <c r="Y100" s="432">
        <f t="shared" si="4"/>
        <v>2411215.0495405928</v>
      </c>
      <c r="Z100" s="549">
        <f t="shared" si="11"/>
        <v>2347821.2966890871</v>
      </c>
      <c r="AA100" s="549">
        <f t="shared" si="12"/>
        <v>2086</v>
      </c>
      <c r="AB100" s="432">
        <f t="shared" si="6"/>
        <v>35639377.363644451</v>
      </c>
      <c r="AC100" s="432"/>
      <c r="AD100" s="432">
        <f t="shared" si="7"/>
        <v>33395313.394621667</v>
      </c>
      <c r="AE100" s="436"/>
      <c r="AF100" s="436"/>
      <c r="AI100" s="427">
        <f>'OPG TFP'!AA100</f>
        <v>14184112.09657358</v>
      </c>
      <c r="AJ100">
        <f t="shared" si="8"/>
        <v>2.3544169114885158</v>
      </c>
    </row>
    <row r="101" spans="2:38" s="507" customFormat="1" x14ac:dyDescent="0.2">
      <c r="B101" s="507" t="s">
        <v>31</v>
      </c>
      <c r="C101" s="508">
        <v>2014</v>
      </c>
      <c r="D101" s="512">
        <v>6433</v>
      </c>
      <c r="E101" s="512">
        <v>6433</v>
      </c>
      <c r="F101" s="512">
        <v>5284</v>
      </c>
      <c r="G101" s="512">
        <v>31500000</v>
      </c>
      <c r="H101" s="512">
        <f t="shared" si="22"/>
        <v>188019.67078964785</v>
      </c>
      <c r="I101" s="512">
        <v>188019.67078964785</v>
      </c>
      <c r="J101" s="513">
        <f t="shared" si="19"/>
        <v>0.59688784377665982</v>
      </c>
      <c r="K101" s="509">
        <v>74300000</v>
      </c>
      <c r="L101" s="509">
        <v>74300000</v>
      </c>
      <c r="M101" s="732">
        <v>85600000</v>
      </c>
      <c r="N101" s="723">
        <f>'Benchmark Year Price'!F48</f>
        <v>55.483830549748802</v>
      </c>
      <c r="O101" s="723">
        <f t="shared" si="5"/>
        <v>1542791.8215424574</v>
      </c>
      <c r="P101" s="509">
        <v>9288900000</v>
      </c>
      <c r="R101" s="514">
        <v>113.4</v>
      </c>
      <c r="S101" s="514"/>
      <c r="T101" s="514"/>
      <c r="U101" s="514"/>
      <c r="V101" s="514"/>
      <c r="W101" s="538">
        <f>'Table 1'!F21</f>
        <v>1.296459337573129</v>
      </c>
      <c r="X101" s="538">
        <f>'Benchmark Year Price'!F98</f>
        <v>657.2774814191323</v>
      </c>
      <c r="Y101" s="512">
        <f t="shared" si="4"/>
        <v>113042.05925262853</v>
      </c>
      <c r="Z101" s="549">
        <f t="shared" si="11"/>
        <v>113042.05925262853</v>
      </c>
      <c r="AA101" s="549">
        <f t="shared" si="12"/>
        <v>2087</v>
      </c>
      <c r="AB101" s="512">
        <f t="shared" si="6"/>
        <v>34209627.601354621</v>
      </c>
      <c r="AC101" s="512"/>
      <c r="AD101" s="512">
        <f t="shared" si="7"/>
        <v>35639377.363644451</v>
      </c>
      <c r="AE101" s="514"/>
      <c r="AF101" s="514"/>
      <c r="AI101" s="427">
        <f>'OPG TFP'!AA101</f>
        <v>16222409.725563252</v>
      </c>
      <c r="AJ101">
        <f t="shared" si="8"/>
        <v>2.196922526712167</v>
      </c>
    </row>
    <row r="102" spans="2:38" x14ac:dyDescent="0.2">
      <c r="B102" s="18"/>
      <c r="D102" s="437"/>
      <c r="F102" s="437"/>
      <c r="J102" s="662"/>
      <c r="K102" s="439"/>
      <c r="L102" s="439"/>
      <c r="M102" s="439"/>
      <c r="N102" s="439"/>
      <c r="O102" s="439"/>
      <c r="AD102" s="512">
        <f t="shared" si="7"/>
        <v>34209627.601354621</v>
      </c>
    </row>
    <row r="103" spans="2:38" x14ac:dyDescent="0.2">
      <c r="J103" s="662"/>
      <c r="K103" s="453"/>
      <c r="L103" s="453"/>
      <c r="M103" s="453"/>
      <c r="N103" s="453"/>
      <c r="O103" s="453"/>
    </row>
    <row r="104" spans="2:38" x14ac:dyDescent="0.2">
      <c r="C104" s="460" t="s">
        <v>639</v>
      </c>
      <c r="D104" s="486">
        <f>LN(D101/D71)/30</f>
        <v>3.4069102032962795E-3</v>
      </c>
      <c r="E104" s="486"/>
      <c r="F104" s="486">
        <f>LN(F101/F71)/30</f>
        <v>-7.0370270503683323E-3</v>
      </c>
      <c r="G104" s="486">
        <f>LN(G101/G71)/30</f>
        <v>-5.5985613150192903E-3</v>
      </c>
      <c r="H104" s="486">
        <f>LN(H101/H71)/30</f>
        <v>3.7513238138478025E-2</v>
      </c>
      <c r="I104" s="486"/>
      <c r="J104" s="486">
        <f>LN(J101/J71)/30</f>
        <v>3.9226449058792176E-2</v>
      </c>
      <c r="O104" s="483"/>
      <c r="P104" s="483"/>
      <c r="R104" s="486">
        <f>LN(R101/R71)/30</f>
        <v>2.2812249763596647E-2</v>
      </c>
      <c r="S104" s="112"/>
      <c r="T104" s="112"/>
      <c r="U104" s="112"/>
      <c r="V104" s="112"/>
      <c r="W104" s="486">
        <f>LN(W101/W71)/30</f>
        <v>2.3874017477085605E-2</v>
      </c>
      <c r="Y104" s="112"/>
      <c r="Z104" s="112"/>
      <c r="AA104" s="112"/>
      <c r="AB104" s="486">
        <f>LN(AB101/AB71)/30</f>
        <v>-4.4788951372071902E-3</v>
      </c>
      <c r="AC104" s="486"/>
      <c r="AD104" s="486">
        <f>LN(AD101/AD71)/30</f>
        <v>-3.0589535665768411E-3</v>
      </c>
      <c r="AE104" s="486"/>
      <c r="AF104" s="112"/>
      <c r="AH104" s="431"/>
      <c r="AI104" s="486">
        <f>LN(AI101/AI71)/30</f>
        <v>-1.2262452722805038E-2</v>
      </c>
    </row>
    <row r="105" spans="2:38" x14ac:dyDescent="0.2">
      <c r="C105" s="460" t="s">
        <v>666</v>
      </c>
      <c r="D105" s="486">
        <f>LN(D101/D82)/(2014-1995)</f>
        <v>5.0817730936016658E-3</v>
      </c>
      <c r="E105" s="486"/>
      <c r="F105" s="486">
        <f t="shared" ref="F105:W105" si="23">LN(F101/F82)/(2014-1995)</f>
        <v>-4.7494311850527562E-3</v>
      </c>
      <c r="G105" s="486">
        <f t="shared" si="23"/>
        <v>-4.6352115025139647E-3</v>
      </c>
      <c r="H105" s="486">
        <f t="shared" si="23"/>
        <v>3.6837312950459368E-2</v>
      </c>
      <c r="I105" s="486"/>
      <c r="J105" s="486">
        <f t="shared" si="23"/>
        <v>3.5337760671859966E-2</v>
      </c>
      <c r="K105" s="486"/>
      <c r="L105" s="486"/>
      <c r="M105" s="486">
        <f>0.005</f>
        <v>5.0000000000000001E-3</v>
      </c>
      <c r="N105" s="486"/>
      <c r="O105" s="486"/>
      <c r="P105" s="483"/>
      <c r="Q105" s="486"/>
      <c r="R105" s="486">
        <f t="shared" si="23"/>
        <v>1.8494625623046778E-2</v>
      </c>
      <c r="S105" s="486" t="e">
        <f t="shared" si="23"/>
        <v>#DIV/0!</v>
      </c>
      <c r="T105" s="486" t="e">
        <f t="shared" si="23"/>
        <v>#NUM!</v>
      </c>
      <c r="U105" s="486" t="e">
        <f t="shared" si="23"/>
        <v>#NUM!</v>
      </c>
      <c r="V105" s="486" t="e">
        <f t="shared" si="23"/>
        <v>#DIV/0!</v>
      </c>
      <c r="W105" s="486">
        <f t="shared" si="23"/>
        <v>2.0171100960134615E-2</v>
      </c>
      <c r="Y105" s="112"/>
      <c r="Z105" s="112"/>
      <c r="AA105" s="112"/>
      <c r="AB105" s="486">
        <f t="shared" ref="AB105" si="24">LN(AB101/AB82)/(2014-1995)</f>
        <v>-2.8999133069840502E-3</v>
      </c>
      <c r="AC105" s="486"/>
      <c r="AD105" s="486">
        <f t="shared" ref="AD105" si="25">LN(AD101/AD82)/(2014-1995)</f>
        <v>-1.2697387373161715E-3</v>
      </c>
      <c r="AE105" s="486"/>
      <c r="AF105" s="112"/>
      <c r="AH105" s="431"/>
      <c r="AI105" s="486">
        <f t="shared" ref="AI105" si="26">LN(AI101/AI82)/(2014-1995)</f>
        <v>-8.7892870413359518E-3</v>
      </c>
      <c r="AJ105" s="431"/>
    </row>
    <row r="106" spans="2:38" x14ac:dyDescent="0.2">
      <c r="C106" s="460" t="s">
        <v>638</v>
      </c>
      <c r="D106" s="486">
        <f>LN(D101/D89)/12</f>
        <v>6.4357413442412586E-4</v>
      </c>
      <c r="E106" s="486"/>
      <c r="F106" s="486">
        <f>LN(F101/F89)/12</f>
        <v>-8.3087404809870109E-3</v>
      </c>
      <c r="G106" s="486">
        <f>LN(G101/G89)/12</f>
        <v>-6.1189557129014338E-3</v>
      </c>
      <c r="H106" s="486">
        <f>LN(H101/H89)/12</f>
        <v>4.5365784247109887E-2</v>
      </c>
      <c r="I106" s="486"/>
      <c r="J106" s="486">
        <f>LN(J101/J89)/12</f>
        <v>5.1484739960011329E-2</v>
      </c>
      <c r="P106" s="483"/>
      <c r="R106" s="486">
        <f>LN(R101/R89)/12</f>
        <v>1.8981994239225999E-2</v>
      </c>
      <c r="S106" s="112"/>
      <c r="T106" s="112"/>
      <c r="U106" s="112"/>
      <c r="V106" s="112"/>
      <c r="W106" s="486">
        <f>LN(W101/W89)/12</f>
        <v>2.1636413522948438E-2</v>
      </c>
      <c r="Y106" s="112"/>
      <c r="Z106" s="112"/>
      <c r="AA106" s="112"/>
      <c r="AB106" s="486">
        <f>LN(AB101/AB89)/12</f>
        <v>-1.9934802650382446E-3</v>
      </c>
      <c r="AC106" s="486"/>
      <c r="AD106" s="486">
        <f>LN(AD101/AD89)/12</f>
        <v>1.2618639852140234E-3</v>
      </c>
      <c r="AE106" s="486"/>
      <c r="AF106" s="112"/>
      <c r="AH106" s="431"/>
      <c r="AI106" s="486">
        <f>LN(AI101/AI89)/12</f>
        <v>-4.4487692336378079E-3</v>
      </c>
    </row>
    <row r="107" spans="2:38" x14ac:dyDescent="0.2">
      <c r="P107" s="483"/>
      <c r="R107" s="662"/>
    </row>
    <row r="108" spans="2:38" ht="13.5" thickBot="1" x14ac:dyDescent="0.25">
      <c r="P108" s="483"/>
      <c r="R108" s="703"/>
      <c r="S108" s="703"/>
      <c r="T108" s="703"/>
      <c r="U108" s="703"/>
      <c r="V108" s="703"/>
      <c r="W108" s="703"/>
      <c r="X108" s="704">
        <v>2014</v>
      </c>
      <c r="Y108" s="703"/>
      <c r="Z108" s="703"/>
      <c r="AA108" s="703"/>
      <c r="AB108" s="703"/>
      <c r="AC108" s="703"/>
      <c r="AD108" s="703"/>
      <c r="AE108" s="703"/>
      <c r="AF108" s="703"/>
      <c r="AG108" s="703"/>
      <c r="AH108" s="703"/>
      <c r="AI108" s="703"/>
      <c r="AJ108" s="703"/>
      <c r="AK108" s="703"/>
      <c r="AL108" s="703"/>
    </row>
    <row r="109" spans="2:38" x14ac:dyDescent="0.2">
      <c r="C109" s="515"/>
      <c r="D109" s="519" t="s">
        <v>639</v>
      </c>
      <c r="E109" s="519" t="s">
        <v>666</v>
      </c>
      <c r="F109" s="519" t="s">
        <v>638</v>
      </c>
      <c r="G109" s="555" t="s">
        <v>796</v>
      </c>
      <c r="I109" s="546"/>
      <c r="P109" s="483"/>
      <c r="Q109" s="112"/>
      <c r="R109" s="703"/>
      <c r="S109" s="703"/>
      <c r="T109" s="705"/>
      <c r="U109" s="705"/>
      <c r="V109" s="705"/>
      <c r="W109" s="705"/>
      <c r="X109" s="704">
        <v>73</v>
      </c>
      <c r="Y109" s="703"/>
      <c r="Z109" s="703"/>
      <c r="AA109" s="703"/>
      <c r="AB109" s="703"/>
      <c r="AC109" s="703"/>
      <c r="AD109" s="703"/>
      <c r="AE109" s="705"/>
      <c r="AF109" s="705"/>
      <c r="AG109" s="703"/>
      <c r="AH109" s="703"/>
      <c r="AI109" s="703"/>
      <c r="AJ109" s="703"/>
      <c r="AK109" s="703"/>
      <c r="AL109" s="703"/>
    </row>
    <row r="110" spans="2:38" x14ac:dyDescent="0.2">
      <c r="C110" s="517" t="s">
        <v>636</v>
      </c>
      <c r="D110" s="520">
        <f>D104-AD104</f>
        <v>6.4658637698731206E-3</v>
      </c>
      <c r="E110" s="520">
        <f>D105-AD105</f>
        <v>6.3515118309178369E-3</v>
      </c>
      <c r="F110" s="520">
        <f>D106-AD106</f>
        <v>-6.1828985078989757E-4</v>
      </c>
      <c r="G110" s="556" t="e">
        <f>#REF!</f>
        <v>#REF!</v>
      </c>
      <c r="I110" s="577"/>
      <c r="P110" s="483"/>
      <c r="R110" s="703"/>
      <c r="S110" s="703"/>
      <c r="T110" s="705"/>
      <c r="U110" s="705"/>
      <c r="V110" s="705"/>
      <c r="W110" s="705"/>
      <c r="X110" s="704">
        <f>X108-X109</f>
        <v>1941</v>
      </c>
      <c r="Y110" s="703"/>
      <c r="Z110" s="703"/>
      <c r="AA110" s="703"/>
      <c r="AB110" s="703"/>
      <c r="AC110" s="703"/>
      <c r="AD110" s="703"/>
      <c r="AE110" s="705"/>
      <c r="AF110" s="705"/>
      <c r="AG110" s="703"/>
      <c r="AH110" s="703"/>
      <c r="AI110" s="703"/>
      <c r="AJ110" s="703"/>
      <c r="AK110" s="703"/>
      <c r="AL110" s="703"/>
    </row>
    <row r="111" spans="2:38" x14ac:dyDescent="0.2">
      <c r="C111" s="517" t="s">
        <v>637</v>
      </c>
      <c r="D111" s="520">
        <f>D104-(H104-W104)</f>
        <v>-1.0232310458096141E-2</v>
      </c>
      <c r="E111" s="520">
        <f>D105-(H105-W105)</f>
        <v>-1.1584438896723087E-2</v>
      </c>
      <c r="F111" s="520">
        <f>D106-(H106-W106)</f>
        <v>-2.3085796589737324E-2</v>
      </c>
      <c r="G111" s="556" t="e">
        <f>1-G110</f>
        <v>#REF!</v>
      </c>
      <c r="I111" s="529"/>
      <c r="P111" s="483"/>
      <c r="R111" s="703"/>
      <c r="S111" s="703"/>
      <c r="T111" s="705"/>
      <c r="U111" s="705"/>
      <c r="V111" s="705"/>
      <c r="W111" s="705"/>
      <c r="X111" s="704">
        <f>X110+6</f>
        <v>1947</v>
      </c>
      <c r="Y111" s="703"/>
      <c r="Z111" s="703"/>
      <c r="AA111" s="703"/>
      <c r="AB111" s="703"/>
      <c r="AC111" s="703"/>
      <c r="AD111" s="703"/>
      <c r="AE111" s="705"/>
      <c r="AF111" s="705"/>
      <c r="AG111" s="703"/>
      <c r="AH111" s="703"/>
      <c r="AI111" s="703"/>
      <c r="AJ111" s="703"/>
      <c r="AK111" s="703"/>
      <c r="AL111" s="703"/>
    </row>
    <row r="112" spans="2:38" ht="13.5" thickBot="1" x14ac:dyDescent="0.25">
      <c r="C112" s="518" t="s">
        <v>665</v>
      </c>
      <c r="D112" s="521" t="e">
        <f>D110*$G$110+$G$111*D111</f>
        <v>#REF!</v>
      </c>
      <c r="E112" s="599" t="e">
        <f>E110*$G$110+$G$111*E111</f>
        <v>#REF!</v>
      </c>
      <c r="F112" s="669" t="s">
        <v>822</v>
      </c>
      <c r="G112" s="557"/>
      <c r="I112" s="529"/>
      <c r="P112" s="483"/>
      <c r="R112" s="703"/>
      <c r="S112" s="703"/>
      <c r="T112" s="705"/>
      <c r="U112" s="705"/>
      <c r="V112" s="705"/>
      <c r="W112" s="705"/>
      <c r="X112" s="716"/>
      <c r="Y112" s="717"/>
      <c r="Z112" s="703"/>
      <c r="AA112" s="703"/>
      <c r="AB112" s="703"/>
      <c r="AC112" s="703"/>
      <c r="AD112" s="703"/>
      <c r="AE112" s="705"/>
      <c r="AF112" s="705"/>
      <c r="AG112" s="703"/>
      <c r="AH112" s="703"/>
      <c r="AI112" s="703"/>
      <c r="AJ112" s="703"/>
      <c r="AK112" s="703"/>
      <c r="AL112" s="703"/>
    </row>
    <row r="113" spans="3:38" x14ac:dyDescent="0.2">
      <c r="I113" s="577"/>
      <c r="P113" s="483"/>
      <c r="R113" s="703"/>
      <c r="S113" s="703"/>
      <c r="T113" s="704"/>
      <c r="U113" s="704"/>
      <c r="V113" s="704"/>
      <c r="W113" s="703"/>
      <c r="X113" s="750" t="s">
        <v>750</v>
      </c>
      <c r="Y113" s="750"/>
      <c r="Z113" s="718"/>
      <c r="AA113" s="718"/>
      <c r="AB113" s="703" t="s">
        <v>749</v>
      </c>
      <c r="AC113" s="704" t="s">
        <v>747</v>
      </c>
      <c r="AD113" s="704" t="s">
        <v>634</v>
      </c>
      <c r="AE113" s="707"/>
      <c r="AF113" s="707"/>
      <c r="AG113" s="703"/>
      <c r="AH113" s="703"/>
      <c r="AI113" s="703"/>
      <c r="AJ113" s="703"/>
      <c r="AK113" s="703"/>
      <c r="AL113" s="703"/>
    </row>
    <row r="114" spans="3:38" ht="38.25" x14ac:dyDescent="0.2">
      <c r="I114" s="578"/>
      <c r="J114" s="662"/>
      <c r="P114" s="483"/>
      <c r="R114" s="703"/>
      <c r="S114" s="703"/>
      <c r="T114" s="708" t="s">
        <v>748</v>
      </c>
      <c r="U114" s="708"/>
      <c r="V114" s="708"/>
      <c r="W114" s="703" t="s">
        <v>752</v>
      </c>
      <c r="X114" s="719">
        <v>2014</v>
      </c>
      <c r="Y114" s="719">
        <f>X114-73</f>
        <v>1941</v>
      </c>
      <c r="Z114" s="709"/>
      <c r="AA114" s="709"/>
      <c r="AB114" s="710">
        <f>AVERAGE(Y28:Y32)</f>
        <v>322854.62516718451</v>
      </c>
      <c r="AC114" s="710">
        <f>AC115</f>
        <v>35639377.363644451</v>
      </c>
      <c r="AD114" s="711">
        <f>AB114/AC114</f>
        <v>9.0589300108403943E-3</v>
      </c>
      <c r="AE114" s="707"/>
      <c r="AF114" s="707"/>
      <c r="AG114" s="703"/>
      <c r="AH114" s="703"/>
      <c r="AI114" s="703"/>
      <c r="AJ114" s="703"/>
      <c r="AK114" s="703"/>
      <c r="AL114" s="703"/>
    </row>
    <row r="115" spans="3:38" ht="13.5" thickBot="1" x14ac:dyDescent="0.25">
      <c r="P115" s="483"/>
      <c r="R115" s="703"/>
      <c r="S115" s="703"/>
      <c r="T115" s="703"/>
      <c r="U115" s="703"/>
      <c r="V115" s="703"/>
      <c r="W115" s="703"/>
      <c r="X115" s="719">
        <v>2015</v>
      </c>
      <c r="Y115" s="719">
        <f>X115-73</f>
        <v>1942</v>
      </c>
      <c r="Z115" s="709"/>
      <c r="AA115" s="709"/>
      <c r="AB115" s="710">
        <f>AVERAGE(Y29:Y33)</f>
        <v>628162.80331441329</v>
      </c>
      <c r="AC115" s="710">
        <f>AC116</f>
        <v>35639377.363644451</v>
      </c>
      <c r="AD115" s="711">
        <f>AB115/AC115</f>
        <v>1.7625526868917721E-2</v>
      </c>
      <c r="AE115" s="703"/>
      <c r="AF115" s="703"/>
      <c r="AG115" s="703"/>
      <c r="AH115" s="703"/>
      <c r="AI115" s="703"/>
      <c r="AJ115" s="703"/>
      <c r="AK115" s="703"/>
      <c r="AL115" s="703"/>
    </row>
    <row r="116" spans="3:38" x14ac:dyDescent="0.2">
      <c r="C116" s="162" t="s">
        <v>633</v>
      </c>
      <c r="D116" s="499"/>
      <c r="E116" s="499"/>
      <c r="F116" s="499"/>
      <c r="G116" s="522">
        <f>'Depreciation Rate'!L61</f>
        <v>2.6291206528253862E-2</v>
      </c>
      <c r="H116" s="516" t="s">
        <v>702</v>
      </c>
      <c r="I116" s="516"/>
      <c r="J116" s="500"/>
      <c r="K116" s="18" t="s">
        <v>837</v>
      </c>
      <c r="P116" s="483"/>
      <c r="R116" s="703"/>
      <c r="S116" s="703"/>
      <c r="T116" s="703"/>
      <c r="U116" s="703"/>
      <c r="V116" s="703"/>
      <c r="W116" s="703"/>
      <c r="X116" s="719">
        <v>2016</v>
      </c>
      <c r="Y116" s="719">
        <f>X116-73</f>
        <v>1943</v>
      </c>
      <c r="Z116" s="709"/>
      <c r="AA116" s="709"/>
      <c r="AB116" s="710">
        <f>AVERAGE(Y30:Y34)</f>
        <v>319345.33576319338</v>
      </c>
      <c r="AC116" s="710">
        <f>AD101</f>
        <v>35639377.363644451</v>
      </c>
      <c r="AD116" s="711">
        <f>AB116/AC116</f>
        <v>8.9604633802877805E-3</v>
      </c>
      <c r="AE116" s="703"/>
      <c r="AF116" s="703"/>
      <c r="AG116" s="703"/>
      <c r="AH116" s="703"/>
      <c r="AI116" s="703"/>
      <c r="AJ116" s="703"/>
      <c r="AK116" s="703"/>
      <c r="AL116" s="703"/>
    </row>
    <row r="117" spans="3:38" ht="13.5" thickBot="1" x14ac:dyDescent="0.25">
      <c r="C117" s="523" t="s">
        <v>632</v>
      </c>
      <c r="D117" s="524"/>
      <c r="E117" s="524"/>
      <c r="F117" s="524"/>
      <c r="G117" s="702">
        <f>676/1818130</f>
        <v>3.7181059660200313E-4</v>
      </c>
      <c r="H117" s="525" t="s">
        <v>703</v>
      </c>
      <c r="I117" s="525"/>
      <c r="J117" s="701"/>
      <c r="K117" s="18" t="s">
        <v>860</v>
      </c>
      <c r="P117" s="483"/>
      <c r="R117" s="703"/>
      <c r="S117" s="703"/>
      <c r="T117" s="703"/>
      <c r="U117" s="703"/>
      <c r="V117" s="703"/>
      <c r="W117" s="703"/>
      <c r="X117" s="719">
        <v>2017</v>
      </c>
      <c r="Y117" s="719">
        <f>X117-73</f>
        <v>1944</v>
      </c>
      <c r="Z117" s="709"/>
      <c r="AA117" s="709"/>
      <c r="AB117" s="710">
        <f>AVERAGE(Y31:Y35)</f>
        <v>654482.47384434694</v>
      </c>
      <c r="AC117" s="710">
        <f>AC116</f>
        <v>35639377.363644451</v>
      </c>
      <c r="AD117" s="711">
        <f>AB117/AC117</f>
        <v>1.8364026598062324E-2</v>
      </c>
      <c r="AE117" s="703"/>
      <c r="AF117" s="703"/>
      <c r="AG117" s="703"/>
      <c r="AH117" s="703"/>
      <c r="AI117" s="703"/>
      <c r="AJ117" s="703"/>
      <c r="AK117" s="703"/>
      <c r="AL117" s="703"/>
    </row>
    <row r="118" spans="3:38" ht="13.5" thickBot="1" x14ac:dyDescent="0.25">
      <c r="K118" s="18" t="s">
        <v>861</v>
      </c>
      <c r="P118" s="483"/>
      <c r="R118" s="703"/>
      <c r="S118" s="703"/>
      <c r="T118" s="703"/>
      <c r="U118" s="703"/>
      <c r="V118" s="703"/>
      <c r="W118" s="703"/>
      <c r="X118" s="719">
        <v>2018</v>
      </c>
      <c r="Y118" s="719">
        <f>X118-73</f>
        <v>1945</v>
      </c>
      <c r="Z118" s="709"/>
      <c r="AA118" s="709"/>
      <c r="AB118" s="710">
        <f>AVERAGE(Y32:Y36)</f>
        <v>654482.47384434694</v>
      </c>
      <c r="AC118" s="710">
        <f>AC117</f>
        <v>35639377.363644451</v>
      </c>
      <c r="AD118" s="711">
        <f>AB118/AC118</f>
        <v>1.8364026598062324E-2</v>
      </c>
      <c r="AE118" s="703"/>
      <c r="AF118" s="703"/>
      <c r="AG118" s="703"/>
      <c r="AH118" s="703"/>
      <c r="AI118" s="703"/>
      <c r="AJ118" s="703"/>
      <c r="AK118" s="703"/>
      <c r="AL118" s="703"/>
    </row>
    <row r="119" spans="3:38" ht="13.5" thickBot="1" x14ac:dyDescent="0.25">
      <c r="C119" s="539" t="s">
        <v>705</v>
      </c>
      <c r="D119" s="540"/>
      <c r="E119" s="540"/>
      <c r="F119" s="540"/>
      <c r="G119" s="541">
        <f>'Benchmark Year Price'!K10</f>
        <v>36.319364135148781</v>
      </c>
      <c r="H119" s="18" t="s">
        <v>836</v>
      </c>
      <c r="R119" s="703"/>
      <c r="S119" s="703"/>
      <c r="T119" s="703"/>
      <c r="U119" s="703"/>
      <c r="V119" s="703"/>
      <c r="W119" s="703"/>
      <c r="X119" s="719"/>
      <c r="Y119" s="718"/>
      <c r="Z119" s="712"/>
      <c r="AA119" s="712"/>
      <c r="AB119" s="703"/>
      <c r="AC119" s="703"/>
      <c r="AD119" s="703"/>
      <c r="AE119" s="703"/>
      <c r="AF119" s="703"/>
      <c r="AG119" s="703"/>
      <c r="AH119" s="703"/>
      <c r="AI119" s="703"/>
      <c r="AJ119" s="703"/>
      <c r="AK119" s="703"/>
      <c r="AL119" s="703"/>
    </row>
    <row r="120" spans="3:38" x14ac:dyDescent="0.2">
      <c r="D120" s="472"/>
      <c r="E120" s="472"/>
      <c r="F120" s="472"/>
      <c r="G120" s="38"/>
      <c r="R120" s="703"/>
      <c r="S120" s="703"/>
      <c r="T120" s="703"/>
      <c r="U120" s="703"/>
      <c r="V120" s="703"/>
      <c r="W120" s="703"/>
      <c r="X120" s="751" t="s">
        <v>751</v>
      </c>
      <c r="Y120" s="751"/>
      <c r="Z120" s="719"/>
      <c r="AA120" s="719"/>
      <c r="AB120" s="712" t="s">
        <v>749</v>
      </c>
      <c r="AC120" s="709" t="s">
        <v>747</v>
      </c>
      <c r="AD120" s="709" t="s">
        <v>634</v>
      </c>
      <c r="AE120" s="709" t="s">
        <v>769</v>
      </c>
      <c r="AF120" s="709" t="s">
        <v>770</v>
      </c>
      <c r="AG120" s="709" t="s">
        <v>634</v>
      </c>
      <c r="AH120" s="709" t="s">
        <v>18</v>
      </c>
      <c r="AI120" s="703"/>
      <c r="AJ120" s="709" t="s">
        <v>771</v>
      </c>
      <c r="AK120" s="703"/>
      <c r="AL120" s="703"/>
    </row>
    <row r="121" spans="3:38" x14ac:dyDescent="0.2">
      <c r="D121" s="472"/>
      <c r="E121" s="472"/>
      <c r="F121" s="472"/>
      <c r="G121" s="496"/>
      <c r="R121" s="703"/>
      <c r="S121" s="703"/>
      <c r="T121" s="703"/>
      <c r="U121" s="703"/>
      <c r="V121" s="703"/>
      <c r="W121" s="703"/>
      <c r="X121" s="719">
        <v>2014</v>
      </c>
      <c r="Y121" s="719">
        <f>X121-73</f>
        <v>1941</v>
      </c>
      <c r="Z121" s="709">
        <f>Y121+18</f>
        <v>1959</v>
      </c>
      <c r="AA121" s="709"/>
      <c r="AB121" s="710">
        <f>SUM(Y28:Y46)</f>
        <v>39619877.371059932</v>
      </c>
      <c r="AC121" s="710">
        <f>AC114</f>
        <v>35639377.363644451</v>
      </c>
      <c r="AD121" s="711">
        <f>AB121/AC121</f>
        <v>1.1116882589390007</v>
      </c>
      <c r="AE121" s="710">
        <f>SUM(Z28:Z46)</f>
        <v>7942835.8302306002</v>
      </c>
      <c r="AF121" s="710">
        <f>SUM(Z49:Z101)</f>
        <v>7221490.0932628466</v>
      </c>
      <c r="AG121" s="714">
        <f>AB121/AF121</f>
        <v>5.486385338674431</v>
      </c>
      <c r="AH121" s="710">
        <f>SUM('Age Profile'!K34:K52)</f>
        <v>4516</v>
      </c>
      <c r="AI121" s="710">
        <f>D101</f>
        <v>6433</v>
      </c>
      <c r="AJ121" s="710">
        <f>AI121-AH121</f>
        <v>1917</v>
      </c>
      <c r="AK121" s="703">
        <f>AH121/AJ121</f>
        <v>2.3557642149191445</v>
      </c>
      <c r="AL121" s="703"/>
    </row>
    <row r="122" spans="3:38" x14ac:dyDescent="0.2">
      <c r="R122" s="703"/>
      <c r="S122" s="703"/>
      <c r="T122" s="703"/>
      <c r="U122" s="703"/>
      <c r="V122" s="703"/>
      <c r="W122" s="703"/>
      <c r="X122" s="719">
        <v>2015</v>
      </c>
      <c r="Y122" s="719">
        <f>X122-73</f>
        <v>1942</v>
      </c>
      <c r="Z122" s="709">
        <f t="shared" ref="Z122:Z124" si="27">Y122+18</f>
        <v>1960</v>
      </c>
      <c r="AA122" s="709"/>
      <c r="AB122" s="710">
        <f>SUM(Y29:Y47)</f>
        <v>39549691.582980111</v>
      </c>
      <c r="AC122" s="710">
        <f>AC115</f>
        <v>35639377.363644451</v>
      </c>
      <c r="AD122" s="711">
        <f>AB122/AC122</f>
        <v>1.1097189263279486</v>
      </c>
      <c r="AE122" s="710">
        <f>SUM(Z29:Z47)</f>
        <v>7932799.5471184077</v>
      </c>
      <c r="AF122" s="710"/>
      <c r="AG122" s="715" t="e">
        <f t="shared" ref="AG122:AG124" si="28">AB122/AF122</f>
        <v>#DIV/0!</v>
      </c>
      <c r="AH122" s="703"/>
      <c r="AI122" s="703"/>
      <c r="AJ122" s="703"/>
      <c r="AK122" s="703"/>
      <c r="AL122" s="703"/>
    </row>
    <row r="123" spans="3:38" ht="16.5" thickBot="1" x14ac:dyDescent="0.3">
      <c r="C123" s="752" t="s">
        <v>823</v>
      </c>
      <c r="D123" s="752"/>
      <c r="E123" s="752"/>
      <c r="F123" s="752"/>
      <c r="G123" s="752"/>
      <c r="H123" s="752"/>
      <c r="I123" s="752"/>
      <c r="J123" s="752"/>
      <c r="R123" s="703"/>
      <c r="S123" s="703"/>
      <c r="T123" s="703"/>
      <c r="U123" s="703"/>
      <c r="V123" s="703"/>
      <c r="W123" s="703"/>
      <c r="X123" s="719">
        <v>2016</v>
      </c>
      <c r="Y123" s="719">
        <f>X123-73</f>
        <v>1943</v>
      </c>
      <c r="Z123" s="709">
        <f t="shared" si="27"/>
        <v>1961</v>
      </c>
      <c r="AA123" s="709"/>
      <c r="AB123" s="710">
        <f>SUM(Y30:Y48)</f>
        <v>39602330.924039982</v>
      </c>
      <c r="AC123" s="710">
        <f>AC116</f>
        <v>35639377.363644451</v>
      </c>
      <c r="AD123" s="711">
        <f>AB123/AC123</f>
        <v>1.1111959257862378</v>
      </c>
      <c r="AE123" s="710">
        <f>SUM(Z30:Z48)</f>
        <v>8095060.0017757285</v>
      </c>
      <c r="AF123" s="710"/>
      <c r="AG123" s="715" t="e">
        <f t="shared" si="28"/>
        <v>#DIV/0!</v>
      </c>
      <c r="AH123" s="703"/>
      <c r="AI123" s="703"/>
      <c r="AJ123" s="703"/>
      <c r="AK123" s="703"/>
      <c r="AL123" s="703"/>
    </row>
    <row r="124" spans="3:38" x14ac:dyDescent="0.2">
      <c r="C124" s="590" t="s">
        <v>775</v>
      </c>
      <c r="D124" s="499"/>
      <c r="E124" s="499"/>
      <c r="F124" s="600" t="s">
        <v>18</v>
      </c>
      <c r="G124" s="600" t="s">
        <v>778</v>
      </c>
      <c r="H124" s="499" t="s">
        <v>789</v>
      </c>
      <c r="I124" s="499"/>
      <c r="J124" s="679" t="s">
        <v>18</v>
      </c>
      <c r="R124" s="703"/>
      <c r="S124" s="703"/>
      <c r="T124" s="703"/>
      <c r="U124" s="703"/>
      <c r="V124" s="703"/>
      <c r="W124" s="703"/>
      <c r="X124" s="719">
        <v>2017</v>
      </c>
      <c r="Y124" s="719">
        <f>X124-73</f>
        <v>1944</v>
      </c>
      <c r="Z124" s="709">
        <f t="shared" si="27"/>
        <v>1962</v>
      </c>
      <c r="AA124" s="709"/>
      <c r="AB124" s="710">
        <f>SUM(Y31:Y49)</f>
        <v>39602330.924039982</v>
      </c>
      <c r="AC124" s="710">
        <f>AC117</f>
        <v>35639377.363644451</v>
      </c>
      <c r="AD124" s="711">
        <f>AB124/AC124</f>
        <v>1.1111959257862378</v>
      </c>
      <c r="AE124" s="710">
        <f>SUM(Z31:Z49)</f>
        <v>8095060.0017757285</v>
      </c>
      <c r="AF124" s="710"/>
      <c r="AG124" s="715" t="e">
        <f t="shared" si="28"/>
        <v>#DIV/0!</v>
      </c>
      <c r="AH124" s="703"/>
      <c r="AI124" s="703"/>
      <c r="AJ124" s="703"/>
      <c r="AK124" s="703"/>
      <c r="AL124" s="703"/>
    </row>
    <row r="125" spans="3:38" x14ac:dyDescent="0.2">
      <c r="C125" s="591">
        <v>2002</v>
      </c>
      <c r="D125" s="33"/>
      <c r="E125" s="33"/>
      <c r="F125" s="603">
        <f>E89</f>
        <v>6898.5099999999984</v>
      </c>
      <c r="G125" s="545"/>
      <c r="H125" s="592">
        <f>E149</f>
        <v>244</v>
      </c>
      <c r="I125" s="611" t="s">
        <v>786</v>
      </c>
      <c r="J125" s="681">
        <f>E149</f>
        <v>244</v>
      </c>
      <c r="R125" s="703"/>
      <c r="S125" s="703"/>
      <c r="T125" s="703"/>
      <c r="U125" s="703"/>
      <c r="V125" s="703"/>
      <c r="W125" s="703"/>
      <c r="X125" s="709"/>
      <c r="Y125" s="709"/>
      <c r="Z125" s="709"/>
      <c r="AA125" s="709"/>
      <c r="AB125" s="710"/>
      <c r="AC125" s="710"/>
      <c r="AD125" s="711"/>
      <c r="AE125" s="710"/>
      <c r="AF125" s="710"/>
      <c r="AG125" s="715"/>
      <c r="AH125" s="703"/>
      <c r="AI125" s="703"/>
      <c r="AJ125" s="703"/>
      <c r="AK125" s="703"/>
      <c r="AL125" s="703"/>
    </row>
    <row r="126" spans="3:38" x14ac:dyDescent="0.2">
      <c r="C126" s="591">
        <v>2009</v>
      </c>
      <c r="D126" s="33">
        <v>23.4</v>
      </c>
      <c r="E126" s="593">
        <f>D126/$D$135</f>
        <v>2.9454339480143492E-3</v>
      </c>
      <c r="F126" s="603"/>
      <c r="G126" s="545">
        <v>30</v>
      </c>
      <c r="H126" s="33"/>
      <c r="I126" s="605" t="s">
        <v>791</v>
      </c>
      <c r="J126" s="681">
        <f>G130</f>
        <v>515</v>
      </c>
      <c r="R126" s="703"/>
      <c r="S126" s="703"/>
      <c r="T126" s="703"/>
      <c r="U126" s="703"/>
      <c r="V126" s="703"/>
      <c r="W126" s="703"/>
      <c r="X126" s="709"/>
      <c r="Y126" s="709"/>
      <c r="Z126" s="709"/>
      <c r="AA126" s="709"/>
      <c r="AB126" s="703"/>
      <c r="AC126" s="710"/>
      <c r="AD126" s="711"/>
      <c r="AE126" s="703"/>
      <c r="AF126" s="703"/>
      <c r="AG126" s="712"/>
      <c r="AH126" s="703"/>
      <c r="AI126" s="703"/>
      <c r="AJ126" s="703"/>
      <c r="AK126" s="703"/>
      <c r="AL126" s="703"/>
    </row>
    <row r="127" spans="3:38" x14ac:dyDescent="0.2">
      <c r="C127" s="591">
        <v>2010</v>
      </c>
      <c r="D127" s="33">
        <v>43.7</v>
      </c>
      <c r="E127" s="593">
        <f t="shared" ref="E127:E129" si="29">D127/$D$135</f>
        <v>5.5006608345396189E-3</v>
      </c>
      <c r="F127" s="603"/>
      <c r="G127" s="545">
        <v>485</v>
      </c>
      <c r="H127" s="33"/>
      <c r="I127" s="605" t="s">
        <v>794</v>
      </c>
      <c r="J127" s="681">
        <f>F125</f>
        <v>6898.5099999999984</v>
      </c>
      <c r="R127" s="703"/>
      <c r="S127" s="703"/>
      <c r="T127" s="703"/>
      <c r="U127" s="703"/>
      <c r="V127" s="703"/>
      <c r="W127" s="703"/>
      <c r="X127" s="709">
        <v>1997</v>
      </c>
      <c r="Y127" s="709">
        <f>X127-73</f>
        <v>1924</v>
      </c>
      <c r="Z127" s="709"/>
      <c r="AA127" s="709"/>
      <c r="AB127" s="710">
        <f>AVERAGE(Y11:Y29)</f>
        <v>641830.56204574718</v>
      </c>
      <c r="AC127" s="710">
        <f>AD84</f>
        <v>35665184.400200889</v>
      </c>
      <c r="AD127" s="711">
        <f>AB127/AC127</f>
        <v>1.7995997296515645E-2</v>
      </c>
      <c r="AE127" s="703"/>
      <c r="AF127" s="703"/>
      <c r="AG127" s="712"/>
      <c r="AH127" s="703"/>
      <c r="AI127" s="703"/>
      <c r="AJ127" s="703"/>
      <c r="AK127" s="703"/>
      <c r="AL127" s="703"/>
    </row>
    <row r="128" spans="3:38" x14ac:dyDescent="0.2">
      <c r="C128" s="591">
        <v>2011</v>
      </c>
      <c r="D128" s="33">
        <v>501.8</v>
      </c>
      <c r="E128" s="593">
        <f t="shared" si="29"/>
        <v>6.316319466297439E-2</v>
      </c>
      <c r="F128" s="603"/>
      <c r="G128" s="529"/>
      <c r="H128" s="33"/>
      <c r="I128" s="605" t="s">
        <v>792</v>
      </c>
      <c r="J128" s="680">
        <f>(J125+J126)/J127</f>
        <v>0.11002375875370191</v>
      </c>
      <c r="R128" s="703"/>
      <c r="S128" s="703"/>
      <c r="T128" s="703"/>
      <c r="U128" s="703"/>
      <c r="V128" s="703"/>
      <c r="W128" s="703"/>
      <c r="X128" s="709"/>
      <c r="Y128" s="703"/>
      <c r="Z128" s="703"/>
      <c r="AA128" s="703"/>
      <c r="AB128" s="703"/>
      <c r="AC128" s="703"/>
      <c r="AD128" s="703"/>
      <c r="AE128" s="703"/>
      <c r="AF128" s="703"/>
      <c r="AG128" s="703"/>
      <c r="AH128" s="703"/>
      <c r="AI128" s="703"/>
      <c r="AJ128" s="703"/>
      <c r="AK128" s="703"/>
      <c r="AL128" s="703"/>
    </row>
    <row r="129" spans="3:38" x14ac:dyDescent="0.2">
      <c r="C129" s="591" t="s">
        <v>600</v>
      </c>
      <c r="D129" s="33">
        <f>SUM(D126:D128)</f>
        <v>568.9</v>
      </c>
      <c r="E129" s="578">
        <f t="shared" si="29"/>
        <v>7.1609289445528357E-2</v>
      </c>
      <c r="F129" s="545"/>
      <c r="G129" s="547"/>
      <c r="H129" s="33"/>
      <c r="I129" s="605" t="s">
        <v>793</v>
      </c>
      <c r="J129" s="680">
        <f>J126/J127</f>
        <v>7.4653802052907101E-2</v>
      </c>
      <c r="R129" s="703"/>
      <c r="S129" s="703"/>
      <c r="T129" s="703"/>
      <c r="U129" s="703"/>
      <c r="V129" s="703"/>
      <c r="W129" s="703"/>
      <c r="X129" s="753" t="s">
        <v>773</v>
      </c>
      <c r="Y129" s="753"/>
      <c r="Z129" s="703"/>
      <c r="AA129" s="703"/>
      <c r="AB129" s="703"/>
      <c r="AC129" s="703"/>
      <c r="AD129" s="703"/>
      <c r="AE129" s="703"/>
      <c r="AF129" s="703"/>
      <c r="AG129" s="703"/>
      <c r="AH129" s="703"/>
      <c r="AI129" s="703"/>
      <c r="AJ129" s="703"/>
      <c r="AK129" s="703"/>
      <c r="AL129" s="703"/>
    </row>
    <row r="130" spans="3:38" x14ac:dyDescent="0.2">
      <c r="C130" s="591"/>
      <c r="D130" s="33"/>
      <c r="E130" s="670">
        <f>1-E129</f>
        <v>0.92839071055447164</v>
      </c>
      <c r="F130" s="545"/>
      <c r="G130" s="604">
        <f>SUM(G126:G127)</f>
        <v>515</v>
      </c>
      <c r="H130" s="33"/>
      <c r="I130" s="33"/>
      <c r="J130" s="168"/>
      <c r="R130" s="703"/>
      <c r="S130" s="703"/>
      <c r="T130" s="703"/>
      <c r="U130" s="703"/>
      <c r="V130" s="703"/>
      <c r="W130" s="703"/>
      <c r="X130" s="704">
        <v>2014</v>
      </c>
      <c r="Y130" s="704">
        <f>X130-73</f>
        <v>1941</v>
      </c>
      <c r="Z130" s="704">
        <f>Y130+9</f>
        <v>1950</v>
      </c>
      <c r="AA130" s="703"/>
      <c r="AB130" s="710">
        <f>SUM(Y29:Y38)</f>
        <v>11115674.187141925</v>
      </c>
      <c r="AC130" s="710">
        <f>AC121</f>
        <v>35639377.363644451</v>
      </c>
      <c r="AD130" s="703"/>
      <c r="AE130" s="710">
        <f>SUM(Z29:Z38)</f>
        <v>1921206.5609348682</v>
      </c>
      <c r="AF130" s="710">
        <f>SUM(Z58:Z111)</f>
        <v>6795131.0846939245</v>
      </c>
      <c r="AG130" s="714">
        <f>AB130/AF130</f>
        <v>1.6358292501788598</v>
      </c>
      <c r="AH130" s="703"/>
      <c r="AI130" s="703"/>
      <c r="AJ130" s="703"/>
      <c r="AK130" s="703"/>
      <c r="AL130" s="703"/>
    </row>
    <row r="131" spans="3:38" x14ac:dyDescent="0.2">
      <c r="C131" s="602"/>
      <c r="D131" s="33"/>
      <c r="E131" s="671"/>
      <c r="F131" s="33"/>
      <c r="G131" s="593">
        <f>G130/F125</f>
        <v>7.4653802052907101E-2</v>
      </c>
      <c r="H131" s="606"/>
      <c r="I131" s="33"/>
      <c r="J131" s="168"/>
      <c r="R131" s="703"/>
      <c r="S131" s="703"/>
      <c r="T131" s="703"/>
      <c r="U131" s="703"/>
      <c r="V131" s="703"/>
      <c r="W131" s="703"/>
      <c r="X131" s="704"/>
      <c r="Y131" s="704"/>
      <c r="Z131" s="704"/>
      <c r="AA131" s="703"/>
      <c r="AB131" s="710"/>
      <c r="AC131" s="710"/>
      <c r="AD131" s="703"/>
      <c r="AE131" s="710"/>
      <c r="AF131" s="710"/>
      <c r="AG131" s="714"/>
      <c r="AH131" s="703"/>
      <c r="AI131" s="703"/>
      <c r="AJ131" s="703"/>
      <c r="AK131" s="703"/>
      <c r="AL131" s="703"/>
    </row>
    <row r="132" spans="3:38" ht="13.5" thickBot="1" x14ac:dyDescent="0.25">
      <c r="C132" s="591"/>
      <c r="D132" s="33"/>
      <c r="E132" s="33"/>
      <c r="F132" s="33"/>
      <c r="G132" s="529"/>
      <c r="H132" s="606"/>
      <c r="I132" s="33"/>
      <c r="J132" s="168"/>
      <c r="R132" s="703"/>
      <c r="S132" s="703"/>
      <c r="T132" s="703"/>
      <c r="U132" s="703"/>
      <c r="V132" s="703"/>
      <c r="W132" s="703"/>
      <c r="X132" s="704"/>
      <c r="Y132" s="703"/>
      <c r="Z132" s="703"/>
      <c r="AA132" s="703"/>
      <c r="AB132" s="703"/>
      <c r="AC132" s="703"/>
      <c r="AD132" s="703"/>
      <c r="AE132" s="703"/>
      <c r="AF132" s="703"/>
      <c r="AG132" s="703"/>
      <c r="AH132" s="703"/>
      <c r="AI132" s="703"/>
      <c r="AJ132" s="703"/>
      <c r="AK132" s="703"/>
      <c r="AL132" s="703"/>
    </row>
    <row r="133" spans="3:38" ht="25.5" x14ac:dyDescent="0.2">
      <c r="C133" s="591" t="s">
        <v>599</v>
      </c>
      <c r="D133" s="33"/>
      <c r="E133" s="33"/>
      <c r="F133" s="33"/>
      <c r="G133" s="682">
        <f>1-J129</f>
        <v>0.92534619794709294</v>
      </c>
      <c r="H133" s="607" t="s">
        <v>788</v>
      </c>
      <c r="I133" s="47" t="s">
        <v>835</v>
      </c>
      <c r="J133" s="168"/>
      <c r="R133" s="703"/>
      <c r="S133" s="703"/>
      <c r="T133" s="703"/>
      <c r="U133" s="703"/>
      <c r="V133" s="703"/>
      <c r="W133" s="703"/>
      <c r="X133" s="704"/>
      <c r="Y133" s="703"/>
      <c r="Z133" s="703"/>
      <c r="AA133" s="703"/>
      <c r="AB133" s="703"/>
      <c r="AC133" s="703"/>
      <c r="AD133" s="703"/>
      <c r="AE133" s="703"/>
      <c r="AF133" s="703"/>
      <c r="AG133" s="703"/>
      <c r="AH133" s="703"/>
      <c r="AI133" s="703"/>
      <c r="AJ133" s="703"/>
      <c r="AK133" s="703"/>
      <c r="AL133" s="703"/>
    </row>
    <row r="134" spans="3:38" x14ac:dyDescent="0.2">
      <c r="C134" s="591"/>
      <c r="D134" s="33"/>
      <c r="E134" s="33"/>
      <c r="F134" s="33"/>
      <c r="G134" s="683"/>
      <c r="H134" s="608"/>
      <c r="I134" s="33"/>
      <c r="J134" s="168"/>
      <c r="R134" s="703"/>
      <c r="S134" s="703"/>
      <c r="T134" s="703"/>
      <c r="U134" s="703"/>
      <c r="V134" s="703"/>
      <c r="W134" s="703"/>
      <c r="X134" s="704"/>
      <c r="Y134" s="703"/>
      <c r="Z134" s="703"/>
      <c r="AA134" s="703"/>
      <c r="AB134" s="703"/>
      <c r="AC134" s="703"/>
      <c r="AD134" s="703"/>
      <c r="AE134" s="703"/>
      <c r="AF134" s="703"/>
      <c r="AG134" s="703"/>
      <c r="AH134" s="703"/>
      <c r="AI134" s="703"/>
      <c r="AJ134" s="703"/>
      <c r="AK134" s="703"/>
      <c r="AL134" s="703"/>
    </row>
    <row r="135" spans="3:38" x14ac:dyDescent="0.2">
      <c r="C135" s="591">
        <v>2008</v>
      </c>
      <c r="D135" s="594">
        <v>7944.5</v>
      </c>
      <c r="E135" s="33"/>
      <c r="F135" s="33"/>
      <c r="G135" s="684"/>
      <c r="H135" s="608"/>
      <c r="I135" s="33"/>
      <c r="J135" s="168"/>
      <c r="R135" s="703"/>
      <c r="S135" s="703"/>
      <c r="T135" s="703"/>
      <c r="U135" s="703"/>
      <c r="V135" s="703"/>
      <c r="W135" s="703"/>
      <c r="X135" s="704"/>
      <c r="Y135" s="703">
        <v>1995</v>
      </c>
      <c r="Z135" s="703"/>
      <c r="AA135" s="703"/>
      <c r="AB135" s="703"/>
      <c r="AC135" s="703"/>
      <c r="AD135" s="703"/>
      <c r="AE135" s="703"/>
      <c r="AF135" s="703"/>
      <c r="AG135" s="703"/>
      <c r="AH135" s="703"/>
      <c r="AI135" s="703"/>
      <c r="AJ135" s="703"/>
      <c r="AK135" s="703"/>
      <c r="AL135" s="703"/>
    </row>
    <row r="136" spans="3:38" ht="26.25" thickBot="1" x14ac:dyDescent="0.25">
      <c r="C136" s="591"/>
      <c r="D136" s="33"/>
      <c r="E136" s="33"/>
      <c r="F136" s="33"/>
      <c r="G136" s="609">
        <f>1-J128</f>
        <v>0.88997624124629815</v>
      </c>
      <c r="H136" s="610" t="s">
        <v>790</v>
      </c>
      <c r="I136" s="47" t="s">
        <v>834</v>
      </c>
      <c r="J136" s="168"/>
      <c r="R136" s="703"/>
      <c r="S136" s="703"/>
      <c r="T136" s="703"/>
      <c r="U136" s="703"/>
      <c r="V136" s="703"/>
      <c r="W136" s="703"/>
      <c r="X136" s="704"/>
      <c r="Y136" s="703">
        <f>Y135-72</f>
        <v>1923</v>
      </c>
      <c r="Z136" s="703"/>
      <c r="AA136" s="703"/>
      <c r="AB136" s="703"/>
      <c r="AC136" s="703"/>
      <c r="AD136" s="703"/>
      <c r="AE136" s="703"/>
      <c r="AF136" s="703"/>
      <c r="AG136" s="703"/>
      <c r="AH136" s="703"/>
      <c r="AI136" s="703"/>
      <c r="AJ136" s="703"/>
      <c r="AK136" s="703"/>
      <c r="AL136" s="703"/>
    </row>
    <row r="137" spans="3:38" x14ac:dyDescent="0.2">
      <c r="C137" s="591" t="s">
        <v>776</v>
      </c>
      <c r="D137" s="593">
        <f>D129/D135</f>
        <v>7.1609289445528357E-2</v>
      </c>
      <c r="E137" s="47" t="s">
        <v>833</v>
      </c>
      <c r="F137" s="33"/>
      <c r="G137" s="461"/>
      <c r="H137" s="33"/>
      <c r="I137" s="33"/>
      <c r="J137" s="168"/>
      <c r="R137" s="703"/>
      <c r="S137" s="703"/>
      <c r="T137" s="703"/>
      <c r="U137" s="703"/>
      <c r="V137" s="703"/>
      <c r="W137" s="703"/>
      <c r="X137" s="704"/>
      <c r="Y137" s="703"/>
      <c r="Z137" s="703"/>
      <c r="AA137" s="703"/>
      <c r="AB137" s="703"/>
      <c r="AC137" s="703"/>
      <c r="AD137" s="703"/>
      <c r="AE137" s="703"/>
      <c r="AF137" s="703"/>
      <c r="AG137" s="703"/>
      <c r="AH137" s="703"/>
      <c r="AI137" s="703"/>
      <c r="AJ137" s="703"/>
      <c r="AK137" s="703"/>
      <c r="AL137" s="703"/>
    </row>
    <row r="138" spans="3:38" ht="13.5" thickBot="1" x14ac:dyDescent="0.25">
      <c r="C138" s="595" t="s">
        <v>777</v>
      </c>
      <c r="D138" s="596"/>
      <c r="E138" s="596"/>
      <c r="F138" s="596"/>
      <c r="G138" s="596"/>
      <c r="H138" s="596"/>
      <c r="I138" s="596"/>
      <c r="J138" s="506"/>
      <c r="R138" s="703"/>
      <c r="S138" s="703"/>
      <c r="T138" s="703"/>
      <c r="U138" s="703"/>
      <c r="V138" s="703"/>
      <c r="W138" s="703"/>
      <c r="X138" s="704"/>
      <c r="Y138" s="703"/>
      <c r="Z138" s="703"/>
      <c r="AA138" s="703"/>
      <c r="AB138" s="703"/>
      <c r="AC138" s="703"/>
      <c r="AD138" s="703"/>
      <c r="AE138" s="703"/>
      <c r="AF138" s="703"/>
      <c r="AG138" s="703"/>
      <c r="AH138" s="703"/>
      <c r="AI138" s="703"/>
      <c r="AJ138" s="703"/>
      <c r="AK138" s="703"/>
      <c r="AL138" s="703"/>
    </row>
    <row r="139" spans="3:38" x14ac:dyDescent="0.2">
      <c r="R139" s="703"/>
      <c r="S139" s="703"/>
      <c r="T139" s="703"/>
      <c r="U139" s="703"/>
      <c r="V139" s="703"/>
      <c r="W139" s="703"/>
      <c r="X139" s="704"/>
      <c r="Y139" s="703"/>
      <c r="Z139" s="703"/>
      <c r="AA139" s="703"/>
      <c r="AB139" s="703"/>
      <c r="AC139" s="703"/>
      <c r="AD139" s="703"/>
      <c r="AE139" s="703"/>
      <c r="AF139" s="703"/>
      <c r="AG139" s="703"/>
      <c r="AH139" s="703"/>
      <c r="AI139" s="703"/>
      <c r="AJ139" s="703"/>
      <c r="AK139" s="703"/>
      <c r="AL139" s="703"/>
    </row>
    <row r="140" spans="3:38" ht="13.5" thickBot="1" x14ac:dyDescent="0.25">
      <c r="R140" s="703"/>
      <c r="S140" s="703"/>
      <c r="T140" s="703"/>
      <c r="U140" s="703"/>
      <c r="V140" s="703"/>
      <c r="W140" s="703"/>
      <c r="X140" s="704"/>
      <c r="Y140" s="703"/>
      <c r="Z140" s="703"/>
      <c r="AA140" s="703"/>
      <c r="AB140" s="703"/>
      <c r="AC140" s="703"/>
      <c r="AD140" s="703"/>
      <c r="AE140" s="703"/>
      <c r="AF140" s="703"/>
      <c r="AG140" s="703"/>
      <c r="AH140" s="703"/>
      <c r="AI140" s="703"/>
      <c r="AJ140" s="703"/>
      <c r="AK140" s="703"/>
      <c r="AL140" s="703"/>
    </row>
    <row r="141" spans="3:38" x14ac:dyDescent="0.2">
      <c r="C141" s="685" t="s">
        <v>780</v>
      </c>
      <c r="D141" s="499"/>
      <c r="E141" s="600" t="s">
        <v>594</v>
      </c>
      <c r="F141" s="499"/>
      <c r="G141" s="499"/>
      <c r="H141" s="500"/>
      <c r="R141" s="703"/>
      <c r="S141" s="703"/>
      <c r="T141" s="703"/>
      <c r="U141" s="703"/>
      <c r="V141" s="703"/>
      <c r="W141" s="703"/>
      <c r="X141" s="704"/>
      <c r="Y141" s="703"/>
      <c r="Z141" s="703"/>
      <c r="AA141" s="703"/>
      <c r="AB141" s="703"/>
      <c r="AC141" s="703"/>
      <c r="AD141" s="703"/>
      <c r="AE141" s="703"/>
      <c r="AF141" s="703"/>
      <c r="AG141" s="703"/>
      <c r="AH141" s="703"/>
      <c r="AI141" s="703"/>
      <c r="AJ141" s="703"/>
      <c r="AK141" s="703"/>
      <c r="AL141" s="703"/>
    </row>
    <row r="142" spans="3:38" x14ac:dyDescent="0.2">
      <c r="C142" s="591"/>
      <c r="D142" s="33"/>
      <c r="E142" s="545"/>
      <c r="F142" s="33"/>
      <c r="G142" s="33"/>
      <c r="H142" s="168"/>
      <c r="R142" s="703"/>
      <c r="S142" s="703"/>
      <c r="T142" s="703"/>
      <c r="U142" s="703"/>
      <c r="V142" s="703"/>
      <c r="W142" s="703"/>
      <c r="X142" s="704"/>
      <c r="Y142" s="703"/>
      <c r="Z142" s="703"/>
      <c r="AA142" s="703"/>
      <c r="AB142" s="703"/>
      <c r="AC142" s="703"/>
      <c r="AD142" s="703"/>
      <c r="AE142" s="703"/>
      <c r="AF142" s="703"/>
      <c r="AG142" s="703"/>
      <c r="AH142" s="703"/>
      <c r="AI142" s="703"/>
      <c r="AJ142" s="703"/>
      <c r="AK142" s="703"/>
      <c r="AL142" s="703"/>
    </row>
    <row r="143" spans="3:38" x14ac:dyDescent="0.2">
      <c r="C143" s="591" t="s">
        <v>112</v>
      </c>
      <c r="D143" s="33"/>
      <c r="E143" s="601">
        <v>28</v>
      </c>
      <c r="F143" s="47" t="s">
        <v>824</v>
      </c>
      <c r="G143" s="33"/>
      <c r="H143" s="168"/>
      <c r="R143" s="703"/>
      <c r="S143" s="703"/>
      <c r="T143" s="703"/>
      <c r="U143" s="703"/>
      <c r="V143" s="703"/>
      <c r="W143" s="703"/>
      <c r="X143" s="704"/>
      <c r="Y143" s="703"/>
      <c r="Z143" s="703"/>
      <c r="AA143" s="703"/>
      <c r="AB143" s="703"/>
      <c r="AC143" s="703"/>
      <c r="AD143" s="703"/>
      <c r="AE143" s="703"/>
      <c r="AF143" s="703"/>
      <c r="AG143" s="703"/>
      <c r="AH143" s="703"/>
      <c r="AI143" s="703"/>
      <c r="AJ143" s="703"/>
      <c r="AK143" s="703"/>
      <c r="AL143" s="703"/>
    </row>
    <row r="144" spans="3:38" x14ac:dyDescent="0.2">
      <c r="C144" s="591" t="s">
        <v>781</v>
      </c>
      <c r="D144" s="33"/>
      <c r="E144" s="601"/>
      <c r="F144" s="47" t="s">
        <v>824</v>
      </c>
      <c r="G144" s="33"/>
      <c r="H144" s="168"/>
      <c r="R144" s="703"/>
      <c r="S144" s="703"/>
      <c r="T144" s="703"/>
      <c r="U144" s="703"/>
      <c r="V144" s="703"/>
      <c r="W144" s="703"/>
      <c r="X144" s="704"/>
      <c r="Y144" s="703"/>
      <c r="Z144" s="703"/>
      <c r="AA144" s="703"/>
      <c r="AB144" s="703"/>
      <c r="AC144" s="703"/>
      <c r="AD144" s="703"/>
      <c r="AE144" s="703"/>
      <c r="AF144" s="703"/>
      <c r="AG144" s="703"/>
      <c r="AH144" s="703"/>
      <c r="AI144" s="703"/>
      <c r="AJ144" s="703"/>
      <c r="AK144" s="703"/>
      <c r="AL144" s="703"/>
    </row>
    <row r="145" spans="3:38" x14ac:dyDescent="0.2">
      <c r="C145" s="591" t="s">
        <v>782</v>
      </c>
      <c r="D145" s="33"/>
      <c r="E145" s="601">
        <v>158</v>
      </c>
      <c r="F145" s="33" t="s">
        <v>786</v>
      </c>
      <c r="G145" s="33"/>
      <c r="H145" s="168"/>
      <c r="R145" s="703"/>
      <c r="S145" s="703"/>
      <c r="T145" s="703"/>
      <c r="U145" s="703"/>
      <c r="V145" s="703"/>
      <c r="W145" s="703"/>
      <c r="X145" s="704"/>
      <c r="Y145" s="703"/>
      <c r="Z145" s="703"/>
      <c r="AA145" s="703"/>
      <c r="AB145" s="703"/>
      <c r="AC145" s="703"/>
      <c r="AD145" s="703"/>
      <c r="AE145" s="703"/>
      <c r="AF145" s="703"/>
      <c r="AG145" s="703"/>
      <c r="AH145" s="703"/>
      <c r="AI145" s="703"/>
      <c r="AJ145" s="703"/>
      <c r="AK145" s="703"/>
      <c r="AL145" s="703"/>
    </row>
    <row r="146" spans="3:38" x14ac:dyDescent="0.2">
      <c r="C146" s="591" t="s">
        <v>783</v>
      </c>
      <c r="D146" s="33"/>
      <c r="E146" s="601">
        <v>46</v>
      </c>
      <c r="F146" s="33" t="s">
        <v>786</v>
      </c>
      <c r="G146" s="33"/>
      <c r="H146" s="168"/>
      <c r="R146" s="703"/>
      <c r="S146" s="703"/>
      <c r="T146" s="703"/>
      <c r="U146" s="703"/>
      <c r="V146" s="703"/>
      <c r="W146" s="703"/>
      <c r="X146" s="704"/>
      <c r="Y146" s="703"/>
      <c r="Z146" s="703"/>
      <c r="AA146" s="703"/>
      <c r="AB146" s="703"/>
      <c r="AC146" s="703"/>
      <c r="AD146" s="703"/>
      <c r="AE146" s="703"/>
      <c r="AF146" s="703"/>
      <c r="AG146" s="703"/>
      <c r="AH146" s="703"/>
      <c r="AI146" s="703"/>
      <c r="AJ146" s="703"/>
      <c r="AK146" s="703"/>
      <c r="AL146" s="703"/>
    </row>
    <row r="147" spans="3:38" x14ac:dyDescent="0.2">
      <c r="C147" s="591" t="s">
        <v>784</v>
      </c>
      <c r="D147" s="33"/>
      <c r="E147" s="601">
        <v>40</v>
      </c>
      <c r="F147" s="33" t="s">
        <v>786</v>
      </c>
      <c r="G147" s="33"/>
      <c r="H147" s="168"/>
      <c r="R147" s="703"/>
      <c r="S147" s="703"/>
      <c r="T147" s="703"/>
      <c r="U147" s="703"/>
      <c r="V147" s="703"/>
      <c r="W147" s="703"/>
      <c r="X147" s="704"/>
      <c r="Y147" s="703"/>
      <c r="Z147" s="703"/>
      <c r="AA147" s="703"/>
      <c r="AB147" s="703"/>
      <c r="AC147" s="703"/>
      <c r="AD147" s="703"/>
      <c r="AE147" s="703"/>
      <c r="AF147" s="703"/>
      <c r="AG147" s="703"/>
      <c r="AH147" s="703"/>
      <c r="AI147" s="703"/>
      <c r="AJ147" s="703"/>
      <c r="AK147" s="703"/>
      <c r="AL147" s="703"/>
    </row>
    <row r="148" spans="3:38" x14ac:dyDescent="0.2">
      <c r="C148" s="591"/>
      <c r="D148" s="33"/>
      <c r="E148" s="594"/>
      <c r="F148" s="33"/>
      <c r="G148" s="33"/>
      <c r="H148" s="168"/>
      <c r="R148" s="703"/>
      <c r="S148" s="703"/>
      <c r="T148" s="703"/>
      <c r="U148" s="703"/>
      <c r="V148" s="703"/>
      <c r="W148" s="703"/>
      <c r="X148" s="704"/>
      <c r="Y148" s="703"/>
      <c r="Z148" s="703"/>
      <c r="AA148" s="703"/>
      <c r="AB148" s="703"/>
      <c r="AC148" s="703"/>
      <c r="AD148" s="703"/>
      <c r="AE148" s="703"/>
      <c r="AF148" s="703"/>
      <c r="AG148" s="703"/>
      <c r="AH148" s="703"/>
      <c r="AI148" s="703"/>
      <c r="AJ148" s="703"/>
      <c r="AK148" s="703"/>
      <c r="AL148" s="703"/>
    </row>
    <row r="149" spans="3:38" x14ac:dyDescent="0.2">
      <c r="C149" s="602" t="s">
        <v>785</v>
      </c>
      <c r="D149" s="33"/>
      <c r="E149" s="601">
        <f>SUM(E145:E147)</f>
        <v>244</v>
      </c>
      <c r="F149" s="33"/>
      <c r="G149" s="33"/>
      <c r="H149" s="168"/>
      <c r="R149" s="703"/>
      <c r="S149" s="703"/>
      <c r="T149" s="703"/>
      <c r="U149" s="703"/>
      <c r="V149" s="703"/>
      <c r="W149" s="703"/>
      <c r="X149" s="704"/>
      <c r="Y149" s="703"/>
      <c r="Z149" s="703"/>
      <c r="AA149" s="703"/>
      <c r="AB149" s="703"/>
      <c r="AC149" s="703"/>
      <c r="AD149" s="703"/>
      <c r="AE149" s="703"/>
      <c r="AF149" s="703"/>
      <c r="AG149" s="703"/>
      <c r="AH149" s="703"/>
      <c r="AI149" s="703"/>
      <c r="AJ149" s="703"/>
      <c r="AK149" s="703"/>
      <c r="AL149" s="703"/>
    </row>
    <row r="150" spans="3:38" x14ac:dyDescent="0.2">
      <c r="C150" s="602" t="s">
        <v>787</v>
      </c>
      <c r="D150" s="33"/>
      <c r="E150" s="594">
        <f>E89</f>
        <v>6898.5099999999984</v>
      </c>
      <c r="F150" s="33"/>
      <c r="G150" s="33"/>
      <c r="H150" s="168"/>
      <c r="R150" s="703"/>
      <c r="S150" s="703"/>
      <c r="T150" s="703"/>
      <c r="U150" s="703"/>
      <c r="V150" s="703"/>
      <c r="W150" s="703"/>
      <c r="X150" s="704"/>
      <c r="Y150" s="703"/>
      <c r="Z150" s="703"/>
      <c r="AA150" s="703"/>
      <c r="AB150" s="703"/>
      <c r="AC150" s="703"/>
      <c r="AD150" s="703"/>
      <c r="AE150" s="703"/>
      <c r="AF150" s="703"/>
      <c r="AG150" s="703"/>
      <c r="AH150" s="703"/>
      <c r="AI150" s="703"/>
      <c r="AJ150" s="703"/>
      <c r="AK150" s="703"/>
      <c r="AL150" s="703"/>
    </row>
    <row r="151" spans="3:38" x14ac:dyDescent="0.2">
      <c r="C151" s="602"/>
      <c r="D151" s="33"/>
      <c r="E151" s="593">
        <f>E149/E150</f>
        <v>3.5369956700794819E-2</v>
      </c>
      <c r="F151" s="33"/>
      <c r="G151" s="33"/>
      <c r="H151" s="168"/>
      <c r="R151" s="703"/>
      <c r="S151" s="703"/>
      <c r="T151" s="703"/>
      <c r="U151" s="703"/>
      <c r="V151" s="703"/>
      <c r="W151" s="703"/>
      <c r="X151" s="704"/>
      <c r="Y151" s="703"/>
      <c r="Z151" s="703"/>
      <c r="AA151" s="703"/>
      <c r="AB151" s="703"/>
      <c r="AC151" s="703"/>
      <c r="AD151" s="703"/>
      <c r="AE151" s="703"/>
      <c r="AF151" s="703"/>
      <c r="AG151" s="703"/>
      <c r="AH151" s="703"/>
      <c r="AI151" s="703"/>
      <c r="AJ151" s="703"/>
      <c r="AK151" s="703"/>
      <c r="AL151" s="703"/>
    </row>
    <row r="152" spans="3:38" x14ac:dyDescent="0.2">
      <c r="C152" s="591"/>
      <c r="D152" s="33"/>
      <c r="E152" s="33"/>
      <c r="F152" s="33"/>
      <c r="G152" s="33"/>
      <c r="H152" s="168"/>
      <c r="R152" s="703"/>
      <c r="S152" s="703"/>
      <c r="T152" s="703"/>
      <c r="U152" s="703"/>
      <c r="V152" s="703"/>
      <c r="W152" s="703"/>
      <c r="X152" s="704"/>
      <c r="Y152" s="703"/>
      <c r="Z152" s="703"/>
      <c r="AA152" s="703"/>
      <c r="AB152" s="703"/>
      <c r="AC152" s="703"/>
      <c r="AD152" s="703"/>
      <c r="AE152" s="703"/>
      <c r="AF152" s="703"/>
      <c r="AG152" s="703"/>
      <c r="AH152" s="703"/>
      <c r="AI152" s="703"/>
      <c r="AJ152" s="703"/>
      <c r="AK152" s="703"/>
      <c r="AL152" s="703"/>
    </row>
    <row r="153" spans="3:38" ht="13.5" thickBot="1" x14ac:dyDescent="0.25">
      <c r="C153" s="595"/>
      <c r="D153" s="596"/>
      <c r="E153" s="596"/>
      <c r="F153" s="596"/>
      <c r="G153" s="596"/>
      <c r="H153" s="506"/>
      <c r="R153" s="703"/>
      <c r="S153" s="703"/>
      <c r="T153" s="703"/>
      <c r="U153" s="703"/>
      <c r="V153" s="703"/>
      <c r="W153" s="703"/>
      <c r="X153" s="704"/>
      <c r="Y153" s="703"/>
      <c r="Z153" s="703"/>
      <c r="AA153" s="703"/>
      <c r="AB153" s="703"/>
      <c r="AC153" s="703"/>
      <c r="AD153" s="703"/>
      <c r="AE153" s="703"/>
      <c r="AF153" s="703"/>
      <c r="AG153" s="703"/>
      <c r="AH153" s="703"/>
      <c r="AI153" s="703"/>
      <c r="AJ153" s="703"/>
      <c r="AK153" s="703"/>
      <c r="AL153" s="703"/>
    </row>
  </sheetData>
  <mergeCells count="4">
    <mergeCell ref="X113:Y113"/>
    <mergeCell ref="X120:Y120"/>
    <mergeCell ref="C123:J123"/>
    <mergeCell ref="X129:Y1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workbookViewId="0">
      <selection activeCell="K28" sqref="K28"/>
    </sheetView>
  </sheetViews>
  <sheetFormatPr defaultColWidth="8.85546875"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36"/>
  <sheetViews>
    <sheetView showGridLines="0" topLeftCell="H1" zoomScale="96" zoomScaleNormal="96" zoomScaleSheetLayoutView="96" zoomScalePageLayoutView="96" workbookViewId="0">
      <selection activeCell="M9" sqref="M9"/>
    </sheetView>
  </sheetViews>
  <sheetFormatPr defaultColWidth="8.85546875" defaultRowHeight="12.75" x14ac:dyDescent="0.2"/>
  <cols>
    <col min="2" max="2" width="10" customWidth="1"/>
    <col min="3" max="3" width="12.85546875" customWidth="1"/>
    <col min="4" max="4" width="13.140625" customWidth="1"/>
    <col min="5" max="5" width="14" customWidth="1"/>
    <col min="6" max="6" width="14.42578125" customWidth="1"/>
    <col min="7" max="7" width="12.140625" customWidth="1"/>
    <col min="8" max="8" width="8.85546875" customWidth="1"/>
    <col min="9" max="9" width="2.7109375" style="33" customWidth="1"/>
    <col min="10" max="10" width="10" customWidth="1"/>
    <col min="11" max="11" width="9.140625" customWidth="1"/>
    <col min="12" max="12" width="2.7109375" style="33" customWidth="1"/>
    <col min="13" max="13" width="8.28515625" customWidth="1"/>
    <col min="14" max="14" width="8.140625" customWidth="1"/>
    <col min="15" max="15" width="2.7109375" style="33" customWidth="1"/>
    <col min="17" max="17" width="8.42578125" customWidth="1"/>
    <col min="18" max="18" width="11" customWidth="1"/>
  </cols>
  <sheetData>
    <row r="1" spans="2:20" ht="15" x14ac:dyDescent="0.2">
      <c r="B1" s="754" t="s">
        <v>680</v>
      </c>
      <c r="C1" s="754"/>
      <c r="D1" s="754"/>
      <c r="E1" s="754"/>
      <c r="F1" s="754"/>
      <c r="G1" s="754"/>
      <c r="H1" s="754"/>
      <c r="I1" s="754"/>
      <c r="J1" s="754"/>
      <c r="K1" s="754"/>
      <c r="L1" s="754"/>
      <c r="M1" s="754"/>
      <c r="N1" s="754"/>
      <c r="O1" s="754"/>
      <c r="P1" s="754"/>
      <c r="Q1" s="754"/>
      <c r="R1" s="754"/>
    </row>
    <row r="3" spans="2:20" ht="26.25" x14ac:dyDescent="0.35">
      <c r="B3" s="755" t="s">
        <v>766</v>
      </c>
      <c r="C3" s="755"/>
      <c r="D3" s="755"/>
      <c r="E3" s="755"/>
      <c r="F3" s="755"/>
      <c r="G3" s="755"/>
      <c r="H3" s="755"/>
      <c r="I3" s="755"/>
      <c r="J3" s="755"/>
      <c r="K3" s="755"/>
      <c r="L3" s="755"/>
      <c r="M3" s="755"/>
      <c r="N3" s="755"/>
      <c r="O3" s="755"/>
      <c r="P3" s="755"/>
      <c r="Q3" s="755"/>
    </row>
    <row r="6" spans="2:20" ht="15" x14ac:dyDescent="0.25">
      <c r="B6" s="559"/>
      <c r="C6" s="748" t="s">
        <v>669</v>
      </c>
      <c r="D6" s="748"/>
      <c r="E6" s="563" t="s">
        <v>742</v>
      </c>
      <c r="F6" s="563" t="s">
        <v>742</v>
      </c>
      <c r="G6" s="748" t="s">
        <v>670</v>
      </c>
      <c r="H6" s="748"/>
      <c r="I6" s="623"/>
      <c r="J6" s="748" t="s">
        <v>637</v>
      </c>
      <c r="K6" s="748"/>
      <c r="L6" s="623"/>
      <c r="M6" s="748" t="s">
        <v>636</v>
      </c>
      <c r="N6" s="748"/>
      <c r="O6" s="623"/>
      <c r="P6" s="748" t="s">
        <v>596</v>
      </c>
      <c r="Q6" s="748"/>
      <c r="R6" s="564" t="s">
        <v>665</v>
      </c>
      <c r="T6" s="543"/>
    </row>
    <row r="7" spans="2:20" ht="15" x14ac:dyDescent="0.25">
      <c r="B7" s="559"/>
      <c r="C7" s="564" t="s">
        <v>21</v>
      </c>
      <c r="D7" s="564" t="s">
        <v>17</v>
      </c>
      <c r="E7" s="564" t="s">
        <v>631</v>
      </c>
      <c r="F7" s="564" t="s">
        <v>741</v>
      </c>
      <c r="G7" s="563" t="s">
        <v>216</v>
      </c>
      <c r="H7" s="563" t="s">
        <v>594</v>
      </c>
      <c r="I7" s="645"/>
      <c r="J7" s="563" t="s">
        <v>216</v>
      </c>
      <c r="K7" s="564" t="s">
        <v>17</v>
      </c>
      <c r="L7" s="645"/>
      <c r="M7" s="563" t="s">
        <v>28</v>
      </c>
      <c r="N7" s="563" t="s">
        <v>17</v>
      </c>
      <c r="O7" s="645"/>
      <c r="P7" s="563" t="s">
        <v>216</v>
      </c>
      <c r="Q7" s="563" t="s">
        <v>28</v>
      </c>
      <c r="R7" s="563" t="s">
        <v>671</v>
      </c>
      <c r="S7" s="38"/>
      <c r="T7" s="350"/>
    </row>
    <row r="8" spans="2:20" ht="15" x14ac:dyDescent="0.25">
      <c r="B8" s="559"/>
      <c r="C8" s="559"/>
      <c r="D8" s="562"/>
      <c r="E8" s="562"/>
      <c r="F8" s="562"/>
      <c r="G8" s="562"/>
      <c r="H8" s="562"/>
      <c r="I8" s="622"/>
      <c r="J8" s="562"/>
      <c r="K8" s="562"/>
      <c r="L8" s="622"/>
      <c r="M8" s="562"/>
      <c r="N8" s="562"/>
      <c r="O8" s="622"/>
      <c r="P8" s="562"/>
      <c r="Q8" s="562"/>
      <c r="R8" s="562"/>
      <c r="S8" s="38"/>
      <c r="T8" s="38"/>
    </row>
    <row r="9" spans="2:20" ht="15" x14ac:dyDescent="0.25">
      <c r="B9" s="564">
        <v>2002</v>
      </c>
      <c r="C9" s="646">
        <f>TFP_dataset!R6</f>
        <v>33977759</v>
      </c>
      <c r="D9" s="633"/>
      <c r="E9" s="629">
        <f>TFP_dataset!K6+TFP_dataset!M6</f>
        <v>117889.12</v>
      </c>
      <c r="F9" s="630">
        <f>TFP_dataset!AC6</f>
        <v>1</v>
      </c>
      <c r="G9" s="629">
        <f t="shared" ref="G9:G21" si="0">E9/F9</f>
        <v>117889.12</v>
      </c>
      <c r="H9" s="629">
        <f>TFP_dataset!G6</f>
        <v>6898.5099999999984</v>
      </c>
      <c r="I9" s="647"/>
      <c r="J9" s="629">
        <f t="shared" ref="J9:J21" si="1">C9/G9</f>
        <v>288.21793732958565</v>
      </c>
      <c r="K9" s="633"/>
      <c r="L9" s="647"/>
      <c r="M9" s="629">
        <f t="shared" ref="M9:M21" si="2">C9/H9</f>
        <v>4925.3764943444321</v>
      </c>
      <c r="N9" s="633"/>
      <c r="O9" s="647"/>
      <c r="P9" s="634">
        <f>1-Q9</f>
        <v>5.5443581309581269E-2</v>
      </c>
      <c r="Q9" s="634">
        <f>TFP_dataset!Y6</f>
        <v>0.94455641869041873</v>
      </c>
      <c r="R9" s="563"/>
      <c r="S9" s="38"/>
      <c r="T9" s="38"/>
    </row>
    <row r="10" spans="2:20" ht="15" x14ac:dyDescent="0.25">
      <c r="B10" s="564">
        <v>2003</v>
      </c>
      <c r="C10" s="646">
        <f>TFP_dataset!R7</f>
        <v>33202786</v>
      </c>
      <c r="D10" s="558">
        <f>LN(C10/C9)</f>
        <v>-2.3072375445428544E-2</v>
      </c>
      <c r="E10" s="629">
        <f>TFP_dataset!K7+TFP_dataset!M7</f>
        <v>130702.24399</v>
      </c>
      <c r="F10" s="630">
        <f>TFP_dataset!AC7</f>
        <v>1.0216477671655084</v>
      </c>
      <c r="G10" s="629">
        <f t="shared" si="0"/>
        <v>127932.78485071661</v>
      </c>
      <c r="H10" s="629">
        <f>TFP_dataset!G7</f>
        <v>6926.0099999999984</v>
      </c>
      <c r="I10" s="647"/>
      <c r="J10" s="629">
        <f t="shared" si="1"/>
        <v>259.53305119359339</v>
      </c>
      <c r="K10" s="558">
        <f t="shared" ref="K10:K21" si="3">LN(J10/J9)</f>
        <v>-0.10483286139779523</v>
      </c>
      <c r="L10" s="647"/>
      <c r="M10" s="629">
        <f t="shared" si="2"/>
        <v>4793.9269507263216</v>
      </c>
      <c r="N10" s="558">
        <f>LN(M10/M9)</f>
        <v>-2.7050819004050489E-2</v>
      </c>
      <c r="O10" s="647"/>
      <c r="P10" s="634">
        <f t="shared" ref="P10:P21" si="4">1-Q10</f>
        <v>6.3199829850418832E-2</v>
      </c>
      <c r="Q10" s="634">
        <f>TFP_dataset!Y7</f>
        <v>0.93680017014958117</v>
      </c>
      <c r="R10" s="558">
        <f>LN(J10/J9)*AVERAGE(P9:P10)+LN(M10/M9)*AVERAGE(Q9:Q10)</f>
        <v>-3.1664982422343294E-2</v>
      </c>
      <c r="S10" s="471"/>
      <c r="T10" s="474"/>
    </row>
    <row r="11" spans="2:20" ht="15" x14ac:dyDescent="0.25">
      <c r="B11" s="564">
        <v>2004</v>
      </c>
      <c r="C11" s="646">
        <f>TFP_dataset!R8</f>
        <v>35351273</v>
      </c>
      <c r="D11" s="558">
        <f t="shared" ref="D11:D21" si="5">LN(C11/C10)</f>
        <v>6.2700614945235975E-2</v>
      </c>
      <c r="E11" s="629">
        <f>TFP_dataset!K8+TFP_dataset!M8</f>
        <v>132211.12375</v>
      </c>
      <c r="F11" s="630">
        <f>TFP_dataset!AC8</f>
        <v>1.046469360323721</v>
      </c>
      <c r="G11" s="629">
        <f t="shared" si="0"/>
        <v>126340.17656197888</v>
      </c>
      <c r="H11" s="629">
        <f>TFP_dataset!G8</f>
        <v>6958.0099999999984</v>
      </c>
      <c r="I11" s="647"/>
      <c r="J11" s="629">
        <f t="shared" si="1"/>
        <v>279.81022317677127</v>
      </c>
      <c r="K11" s="558">
        <f t="shared" si="3"/>
        <v>7.5227539604093993E-2</v>
      </c>
      <c r="L11" s="647"/>
      <c r="M11" s="629">
        <f t="shared" si="2"/>
        <v>5080.6585503613833</v>
      </c>
      <c r="N11" s="558">
        <f t="shared" ref="N11:N21" si="6">LN(M11/M10)</f>
        <v>5.8090990835935427E-2</v>
      </c>
      <c r="O11" s="647"/>
      <c r="P11" s="634">
        <f t="shared" si="4"/>
        <v>7.1405751806133511E-2</v>
      </c>
      <c r="Q11" s="634">
        <f>TFP_dataset!Y8</f>
        <v>0.92859424819386649</v>
      </c>
      <c r="R11" s="558">
        <f t="shared" ref="R11:R21" si="7">LN(J11/J10)*AVERAGE(P10:P11)+LN(M11/M10)*AVERAGE(Q10:Q11)</f>
        <v>5.9244328393197362E-2</v>
      </c>
      <c r="S11" s="471"/>
      <c r="T11" s="474"/>
    </row>
    <row r="12" spans="2:20" ht="15" x14ac:dyDescent="0.25">
      <c r="B12" s="564">
        <v>2005</v>
      </c>
      <c r="C12" s="646">
        <f>TFP_dataset!R9</f>
        <v>33487118</v>
      </c>
      <c r="D12" s="558">
        <f t="shared" si="5"/>
        <v>-5.4173575445451087E-2</v>
      </c>
      <c r="E12" s="629">
        <f>TFP_dataset!K9+TFP_dataset!M9</f>
        <v>142388.46754000001</v>
      </c>
      <c r="F12" s="630">
        <f>TFP_dataset!AC9</f>
        <v>1.0786967724726459</v>
      </c>
      <c r="G12" s="629">
        <f t="shared" si="0"/>
        <v>132000.45756474233</v>
      </c>
      <c r="H12" s="629">
        <f>TFP_dataset!G9</f>
        <v>6923.6099999999988</v>
      </c>
      <c r="I12" s="647"/>
      <c r="J12" s="629">
        <f t="shared" si="1"/>
        <v>253.68940848993313</v>
      </c>
      <c r="K12" s="558">
        <f t="shared" si="3"/>
        <v>-9.8000881441323448E-2</v>
      </c>
      <c r="L12" s="647"/>
      <c r="M12" s="629">
        <f t="shared" si="2"/>
        <v>4836.6557330641108</v>
      </c>
      <c r="N12" s="558">
        <f t="shared" si="6"/>
        <v>-4.921737142651799E-2</v>
      </c>
      <c r="O12" s="647"/>
      <c r="P12" s="634">
        <f t="shared" si="4"/>
        <v>7.7472173273626876E-2</v>
      </c>
      <c r="Q12" s="634">
        <f>TFP_dataset!Y9</f>
        <v>0.92252782672637312</v>
      </c>
      <c r="R12" s="558">
        <f t="shared" si="7"/>
        <v>-5.2848765301073963E-2</v>
      </c>
      <c r="S12" s="471"/>
      <c r="T12" s="474"/>
    </row>
    <row r="13" spans="2:20" ht="15" x14ac:dyDescent="0.25">
      <c r="B13" s="564">
        <v>2006</v>
      </c>
      <c r="C13" s="646">
        <f>TFP_dataset!R10</f>
        <v>34329431</v>
      </c>
      <c r="D13" s="558">
        <f t="shared" si="5"/>
        <v>2.484220534338592E-2</v>
      </c>
      <c r="E13" s="629">
        <f>TFP_dataset!K10+TFP_dataset!M10</f>
        <v>156605.92076000001</v>
      </c>
      <c r="F13" s="630">
        <f>TFP_dataset!AC10</f>
        <v>1.099250227385117</v>
      </c>
      <c r="G13" s="629">
        <f t="shared" si="0"/>
        <v>142466.12541762419</v>
      </c>
      <c r="H13" s="629">
        <f>TFP_dataset!G10</f>
        <v>6971.0099999999984</v>
      </c>
      <c r="I13" s="647"/>
      <c r="J13" s="629">
        <f t="shared" si="1"/>
        <v>240.965569179108</v>
      </c>
      <c r="K13" s="558">
        <f t="shared" si="3"/>
        <v>-5.1456660758829535E-2</v>
      </c>
      <c r="L13" s="647"/>
      <c r="M13" s="629">
        <f t="shared" si="2"/>
        <v>4924.5993048353121</v>
      </c>
      <c r="N13" s="558">
        <f t="shared" si="6"/>
        <v>1.8019394230116902E-2</v>
      </c>
      <c r="O13" s="647"/>
      <c r="P13" s="634">
        <f t="shared" si="4"/>
        <v>0.11115318280774955</v>
      </c>
      <c r="Q13" s="634">
        <f>TFP_dataset!Y10</f>
        <v>0.88884681719225045</v>
      </c>
      <c r="R13" s="558">
        <f>LN(J13/J12)*AVERAGE(P12:P13)+LN(M13/M12)*AVERAGE(Q12:Q13)</f>
        <v>1.1466921424407245E-2</v>
      </c>
      <c r="S13" s="471"/>
      <c r="T13" s="474"/>
    </row>
    <row r="14" spans="2:20" ht="15" x14ac:dyDescent="0.25">
      <c r="B14" s="564">
        <v>2007</v>
      </c>
      <c r="C14" s="646">
        <f>TFP_dataset!R11</f>
        <v>32986718</v>
      </c>
      <c r="D14" s="558">
        <f t="shared" si="5"/>
        <v>-3.9898037308313178E-2</v>
      </c>
      <c r="E14" s="629">
        <f>TFP_dataset!K11+TFP_dataset!M11</f>
        <v>164954.10245000001</v>
      </c>
      <c r="F14" s="630">
        <f>TFP_dataset!AC11</f>
        <v>1.1354504219317154</v>
      </c>
      <c r="G14" s="629">
        <f t="shared" si="0"/>
        <v>145276.35840706056</v>
      </c>
      <c r="H14" s="629">
        <f>TFP_dataset!G11</f>
        <v>6970.8099999999986</v>
      </c>
      <c r="I14" s="647"/>
      <c r="J14" s="629">
        <f t="shared" si="1"/>
        <v>227.06184517354214</v>
      </c>
      <c r="K14" s="558">
        <f t="shared" si="3"/>
        <v>-5.9431630734301105E-2</v>
      </c>
      <c r="L14" s="647"/>
      <c r="M14" s="629">
        <f t="shared" si="2"/>
        <v>4732.1212312485932</v>
      </c>
      <c r="N14" s="558">
        <f t="shared" si="6"/>
        <v>-3.9869346649559372E-2</v>
      </c>
      <c r="O14" s="647"/>
      <c r="P14" s="634">
        <f t="shared" si="4"/>
        <v>0.11966019842657027</v>
      </c>
      <c r="Q14" s="634">
        <f>TFP_dataset!Y11</f>
        <v>0.88033980157342973</v>
      </c>
      <c r="R14" s="558">
        <f t="shared" si="7"/>
        <v>-4.2126965116692151E-2</v>
      </c>
      <c r="S14" s="471"/>
      <c r="T14" s="474"/>
    </row>
    <row r="15" spans="2:20" ht="12.75" customHeight="1" x14ac:dyDescent="0.25">
      <c r="B15" s="564">
        <v>2008</v>
      </c>
      <c r="C15" s="646">
        <f>TFP_dataset!R12</f>
        <v>37423326.099999994</v>
      </c>
      <c r="D15" s="558">
        <f t="shared" si="5"/>
        <v>0.12618920691928343</v>
      </c>
      <c r="E15" s="629">
        <f>TFP_dataset!K12+TFP_dataset!M12</f>
        <v>185739.43175000002</v>
      </c>
      <c r="F15" s="630">
        <f>TFP_dataset!AC12</f>
        <v>1.1628231376944895</v>
      </c>
      <c r="G15" s="629">
        <f t="shared" si="0"/>
        <v>159731.45505021731</v>
      </c>
      <c r="H15" s="629">
        <f>TFP_dataset!G12</f>
        <v>6999.16</v>
      </c>
      <c r="I15" s="647"/>
      <c r="J15" s="629">
        <f>C15/G15</f>
        <v>234.28902020728873</v>
      </c>
      <c r="K15" s="558">
        <f t="shared" si="3"/>
        <v>3.1333056231006656E-2</v>
      </c>
      <c r="L15" s="647"/>
      <c r="M15" s="629">
        <f t="shared" si="2"/>
        <v>5346.8310625846525</v>
      </c>
      <c r="N15" s="558">
        <f t="shared" si="6"/>
        <v>0.1221304954234418</v>
      </c>
      <c r="O15" s="647"/>
      <c r="P15" s="634">
        <f t="shared" si="4"/>
        <v>0.11496701450448499</v>
      </c>
      <c r="Q15" s="634">
        <f>TFP_dataset!Y12</f>
        <v>0.88503298549551501</v>
      </c>
      <c r="R15" s="558">
        <f t="shared" si="7"/>
        <v>0.1114787203739428</v>
      </c>
      <c r="S15" s="471"/>
      <c r="T15" s="474"/>
    </row>
    <row r="16" spans="2:20" ht="12.75" customHeight="1" x14ac:dyDescent="0.25">
      <c r="B16" s="564">
        <v>2009</v>
      </c>
      <c r="C16" s="646">
        <f>TFP_dataset!R13</f>
        <v>36302956.600000001</v>
      </c>
      <c r="D16" s="558">
        <f t="shared" si="5"/>
        <v>-3.0395015528687012E-2</v>
      </c>
      <c r="E16" s="629">
        <f>TFP_dataset!K13+TFP_dataset!M13</f>
        <v>185096.82796</v>
      </c>
      <c r="F16" s="630">
        <f>TFP_dataset!AC13</f>
        <v>1.177420350781766</v>
      </c>
      <c r="G16" s="629">
        <f t="shared" si="0"/>
        <v>157205.3921414745</v>
      </c>
      <c r="H16" s="629">
        <f>TFP_dataset!G13</f>
        <v>6905.222999999999</v>
      </c>
      <c r="I16" s="647"/>
      <c r="J16" s="629">
        <f t="shared" si="1"/>
        <v>230.92691736254017</v>
      </c>
      <c r="K16" s="558">
        <f t="shared" si="3"/>
        <v>-1.4454196893533821E-2</v>
      </c>
      <c r="L16" s="647"/>
      <c r="M16" s="629">
        <f t="shared" si="2"/>
        <v>5257.3184964482689</v>
      </c>
      <c r="N16" s="558">
        <f t="shared" si="6"/>
        <v>-1.688295545180702E-2</v>
      </c>
      <c r="O16" s="647"/>
      <c r="P16" s="634">
        <f t="shared" si="4"/>
        <v>0.13862322154371753</v>
      </c>
      <c r="Q16" s="634">
        <f>TFP_dataset!Y13</f>
        <v>0.86137677845628247</v>
      </c>
      <c r="R16" s="558">
        <f t="shared" si="7"/>
        <v>-1.6575000723758723E-2</v>
      </c>
      <c r="S16" s="471"/>
      <c r="T16" s="474"/>
    </row>
    <row r="17" spans="1:20" ht="12.75" customHeight="1" x14ac:dyDescent="0.25">
      <c r="B17" s="564">
        <v>2010</v>
      </c>
      <c r="C17" s="646">
        <f>TFP_dataset!R14</f>
        <v>30568258.300000001</v>
      </c>
      <c r="D17" s="558">
        <f t="shared" si="5"/>
        <v>-0.17193702686784199</v>
      </c>
      <c r="E17" s="629">
        <f>TFP_dataset!K14+TFP_dataset!M14</f>
        <v>184693.11345245526</v>
      </c>
      <c r="F17" s="630">
        <f>TFP_dataset!AC14</f>
        <v>1.2104167536102524</v>
      </c>
      <c r="G17" s="629">
        <f t="shared" si="0"/>
        <v>152586.38225353369</v>
      </c>
      <c r="H17" s="629">
        <f>TFP_dataset!G14</f>
        <v>6905.5699999999988</v>
      </c>
      <c r="I17" s="647"/>
      <c r="J17" s="629">
        <f t="shared" si="1"/>
        <v>200.33411795037222</v>
      </c>
      <c r="K17" s="558">
        <f t="shared" si="3"/>
        <v>-0.14211472299368269</v>
      </c>
      <c r="L17" s="647"/>
      <c r="M17" s="629">
        <f>C17/H17</f>
        <v>4426.6089982434478</v>
      </c>
      <c r="N17" s="558">
        <f t="shared" si="6"/>
        <v>-0.17198727742189379</v>
      </c>
      <c r="O17" s="647"/>
      <c r="P17" s="634">
        <f t="shared" si="4"/>
        <v>0.16403664934200413</v>
      </c>
      <c r="Q17" s="634">
        <f>TFP_dataset!Y14</f>
        <v>0.83596335065799587</v>
      </c>
      <c r="R17" s="558">
        <f t="shared" si="7"/>
        <v>-0.16746666568875929</v>
      </c>
      <c r="S17" s="471"/>
      <c r="T17" s="474"/>
    </row>
    <row r="18" spans="1:20" ht="12.75" customHeight="1" x14ac:dyDescent="0.25">
      <c r="B18" s="564">
        <v>2011</v>
      </c>
      <c r="C18" s="646">
        <f>TFP_dataset!R15</f>
        <v>30359920.599999994</v>
      </c>
      <c r="D18" s="558">
        <f t="shared" si="5"/>
        <v>-6.8388228812416461E-3</v>
      </c>
      <c r="E18" s="629">
        <f>TFP_dataset!K15+TFP_dataset!M15</f>
        <v>174610.63867432124</v>
      </c>
      <c r="F18" s="630">
        <f>TFP_dataset!AC15</f>
        <v>1.2315008058407915</v>
      </c>
      <c r="G18" s="629">
        <f t="shared" si="0"/>
        <v>141786.86513737848</v>
      </c>
      <c r="H18" s="629">
        <f>TFP_dataset!G15</f>
        <v>6422</v>
      </c>
      <c r="I18" s="647"/>
      <c r="J18" s="629">
        <f t="shared" si="1"/>
        <v>214.12364657744575</v>
      </c>
      <c r="K18" s="558">
        <f t="shared" si="3"/>
        <v>6.6567073494827517E-2</v>
      </c>
      <c r="L18" s="647"/>
      <c r="M18" s="629">
        <f t="shared" si="2"/>
        <v>4727.4868576767349</v>
      </c>
      <c r="N18" s="558">
        <f t="shared" si="6"/>
        <v>6.5759913783345253E-2</v>
      </c>
      <c r="O18" s="647"/>
      <c r="P18" s="634">
        <f t="shared" si="4"/>
        <v>0.15880315459722183</v>
      </c>
      <c r="Q18" s="634">
        <f>TFP_dataset!Y15</f>
        <v>0.84119684540277817</v>
      </c>
      <c r="R18" s="558">
        <f t="shared" si="7"/>
        <v>6.589020542484654E-2</v>
      </c>
      <c r="S18" s="471"/>
      <c r="T18" s="474"/>
    </row>
    <row r="19" spans="1:20" ht="12.75" customHeight="1" x14ac:dyDescent="0.25">
      <c r="B19" s="564">
        <v>2012</v>
      </c>
      <c r="C19" s="646">
        <f>TFP_dataset!R16</f>
        <v>28458915.099999998</v>
      </c>
      <c r="D19" s="558">
        <f t="shared" si="5"/>
        <v>-6.4661865474285332E-2</v>
      </c>
      <c r="E19" s="629">
        <f>TFP_dataset!K16+TFP_dataset!M16</f>
        <v>178134.19656786445</v>
      </c>
      <c r="F19" s="630">
        <f>TFP_dataset!AC16</f>
        <v>1.2501652753742629</v>
      </c>
      <c r="G19" s="629">
        <f t="shared" si="0"/>
        <v>142488.51737986106</v>
      </c>
      <c r="H19" s="629">
        <f>TFP_dataset!G16</f>
        <v>6422</v>
      </c>
      <c r="I19" s="647"/>
      <c r="J19" s="629">
        <f t="shared" si="1"/>
        <v>199.72777893485403</v>
      </c>
      <c r="K19" s="558">
        <f t="shared" si="3"/>
        <v>-6.9598301834791487E-2</v>
      </c>
      <c r="L19" s="647"/>
      <c r="M19" s="629">
        <f>C19/H19</f>
        <v>4431.4722983494239</v>
      </c>
      <c r="N19" s="558">
        <f t="shared" si="6"/>
        <v>-6.4661865474285096E-2</v>
      </c>
      <c r="O19" s="647"/>
      <c r="P19" s="634">
        <f t="shared" si="4"/>
        <v>0.18913054570135601</v>
      </c>
      <c r="Q19" s="634">
        <f>TFP_dataset!Y16</f>
        <v>0.81086945429864399</v>
      </c>
      <c r="R19" s="558">
        <f t="shared" si="7"/>
        <v>-6.5520641758884821E-2</v>
      </c>
      <c r="S19" s="471"/>
      <c r="T19" s="474"/>
    </row>
    <row r="20" spans="1:20" ht="12.75" customHeight="1" x14ac:dyDescent="0.25">
      <c r="B20" s="564">
        <v>2013</v>
      </c>
      <c r="C20" s="646">
        <f>TFP_dataset!R17</f>
        <v>30347392</v>
      </c>
      <c r="D20" s="558">
        <f t="shared" si="5"/>
        <v>6.4249111239538872E-2</v>
      </c>
      <c r="E20" s="629">
        <f>TFP_dataset!K17+TFP_dataset!M17</f>
        <v>182583.69005</v>
      </c>
      <c r="F20" s="630">
        <f>TFP_dataset!AC17</f>
        <v>1.2704232442229755</v>
      </c>
      <c r="G20" s="629">
        <f t="shared" si="0"/>
        <v>143718.78889989379</v>
      </c>
      <c r="H20" s="629">
        <f>TFP_dataset!G17</f>
        <v>6433</v>
      </c>
      <c r="I20" s="647"/>
      <c r="J20" s="629">
        <f t="shared" si="1"/>
        <v>211.15813897609618</v>
      </c>
      <c r="K20" s="558">
        <f t="shared" si="3"/>
        <v>5.5651992504111562E-2</v>
      </c>
      <c r="L20" s="647"/>
      <c r="M20" s="629">
        <f t="shared" si="2"/>
        <v>4717.4556194621482</v>
      </c>
      <c r="N20" s="558">
        <f t="shared" si="6"/>
        <v>6.2537714477997636E-2</v>
      </c>
      <c r="O20" s="647"/>
      <c r="P20" s="634">
        <f t="shared" si="4"/>
        <v>0.16200839397751665</v>
      </c>
      <c r="Q20" s="634">
        <f>TFP_dataset!Y17</f>
        <v>0.83799160602248335</v>
      </c>
      <c r="R20" s="558">
        <f t="shared" si="7"/>
        <v>6.1328791921580701E-2</v>
      </c>
      <c r="S20" s="471"/>
      <c r="T20" s="474"/>
    </row>
    <row r="21" spans="1:20" ht="12.75" customHeight="1" x14ac:dyDescent="0.25">
      <c r="B21" s="564">
        <v>2014</v>
      </c>
      <c r="C21" s="646">
        <f>TFP_dataset!R18</f>
        <v>30625600</v>
      </c>
      <c r="D21" s="558">
        <f t="shared" si="5"/>
        <v>9.1256775037131272E-3</v>
      </c>
      <c r="E21" s="629">
        <f>TFP_dataset!K18+TFP_dataset!M18</f>
        <v>188019.67078964785</v>
      </c>
      <c r="F21" s="630">
        <f>TFP_dataset!AC18</f>
        <v>1.296459337573129</v>
      </c>
      <c r="G21" s="629">
        <f t="shared" si="0"/>
        <v>145025.50549838765</v>
      </c>
      <c r="H21" s="629">
        <f>TFP_dataset!G18</f>
        <v>6433</v>
      </c>
      <c r="I21" s="647"/>
      <c r="J21" s="629">
        <f t="shared" si="1"/>
        <v>211.17388899803206</v>
      </c>
      <c r="K21" s="558">
        <f t="shared" si="3"/>
        <v>7.4585969805376283E-5</v>
      </c>
      <c r="L21" s="647"/>
      <c r="M21" s="629">
        <f t="shared" si="2"/>
        <v>4760.702627079123</v>
      </c>
      <c r="N21" s="558">
        <f t="shared" si="6"/>
        <v>9.1256775037129069E-3</v>
      </c>
      <c r="O21" s="647"/>
      <c r="P21" s="634">
        <f t="shared" si="4"/>
        <v>0.14351649712175141</v>
      </c>
      <c r="Q21" s="634">
        <f>TFP_dataset!Y18</f>
        <v>0.85648350287824859</v>
      </c>
      <c r="R21" s="558">
        <f t="shared" si="7"/>
        <v>7.7430106260996043E-3</v>
      </c>
      <c r="S21" s="471"/>
      <c r="T21" s="474"/>
    </row>
    <row r="22" spans="1:20" ht="15" x14ac:dyDescent="0.25">
      <c r="B22" s="613"/>
      <c r="C22" s="617"/>
      <c r="D22" s="564"/>
      <c r="E22" s="617"/>
      <c r="F22" s="617"/>
      <c r="G22" s="617"/>
      <c r="H22" s="617"/>
      <c r="I22" s="616"/>
      <c r="J22" s="617"/>
      <c r="K22" s="617"/>
      <c r="L22" s="616"/>
      <c r="M22" s="617"/>
      <c r="N22" s="617"/>
      <c r="O22" s="616"/>
      <c r="P22" s="617"/>
      <c r="Q22" s="617"/>
      <c r="R22" s="615"/>
    </row>
    <row r="23" spans="1:20" ht="15" x14ac:dyDescent="0.25">
      <c r="A23" s="38"/>
      <c r="B23" s="560" t="s">
        <v>672</v>
      </c>
      <c r="C23" s="560"/>
      <c r="D23" s="560"/>
      <c r="E23" s="637"/>
      <c r="F23" s="637"/>
      <c r="G23" s="638"/>
      <c r="H23" s="637"/>
      <c r="I23" s="560"/>
      <c r="J23" s="637"/>
      <c r="K23" s="637"/>
      <c r="L23" s="560"/>
      <c r="M23" s="637"/>
      <c r="N23" s="637"/>
      <c r="O23" s="560"/>
      <c r="P23" s="637"/>
      <c r="Q23" s="637"/>
      <c r="R23" s="562"/>
      <c r="S23" s="612"/>
    </row>
    <row r="24" spans="1:20" ht="15" x14ac:dyDescent="0.25">
      <c r="B24" s="620"/>
      <c r="C24" s="648"/>
      <c r="D24" s="561"/>
      <c r="E24" s="561"/>
      <c r="F24" s="561"/>
      <c r="G24" s="561"/>
      <c r="H24" s="561"/>
      <c r="I24" s="649"/>
      <c r="J24" s="561"/>
      <c r="K24" s="561"/>
      <c r="L24" s="649"/>
      <c r="M24" s="561"/>
      <c r="N24" s="561"/>
      <c r="O24" s="649"/>
      <c r="P24" s="650"/>
      <c r="Q24" s="650"/>
      <c r="R24" s="642"/>
      <c r="S24" s="651"/>
      <c r="T24" s="445"/>
    </row>
    <row r="25" spans="1:20" ht="15" x14ac:dyDescent="0.25">
      <c r="B25" s="637" t="s">
        <v>638</v>
      </c>
      <c r="C25" s="561"/>
      <c r="D25" s="561">
        <f>AVERAGE(D10:D21)</f>
        <v>-8.6558252500076212E-3</v>
      </c>
      <c r="E25" s="561">
        <f>LN(E21/E9)/12</f>
        <v>3.8900172293808474E-2</v>
      </c>
      <c r="F25" s="561">
        <f>LN(F21/F9)/12</f>
        <v>2.1636413522948438E-2</v>
      </c>
      <c r="G25" s="561">
        <f>LN(G21/G9)/12</f>
        <v>1.726375877086004E-2</v>
      </c>
      <c r="H25" s="561">
        <f>LN(H21/H9)/12</f>
        <v>-5.8220378188773006E-3</v>
      </c>
      <c r="I25" s="649"/>
      <c r="J25" s="561"/>
      <c r="K25" s="561">
        <f>AVERAGE(K10:K21)</f>
        <v>-2.5919584020867689E-2</v>
      </c>
      <c r="L25" s="649"/>
      <c r="M25" s="561"/>
      <c r="N25" s="561">
        <f>AVERAGE(N10:N21)</f>
        <v>-2.8337874311303184E-3</v>
      </c>
      <c r="O25" s="649"/>
      <c r="P25" s="641">
        <f>AVERAGE(P10:P21)</f>
        <v>0.12616471774604596</v>
      </c>
      <c r="Q25" s="641">
        <f>AVERAGE(Q10:Q21)</f>
        <v>0.87383528225395402</v>
      </c>
      <c r="R25" s="561">
        <f>AVERAGE(R10:R21)</f>
        <v>-4.9209202372864991E-3</v>
      </c>
      <c r="S25" s="612"/>
      <c r="T25" s="38"/>
    </row>
    <row r="26" spans="1:20" ht="15" x14ac:dyDescent="0.25">
      <c r="B26" s="637" t="s">
        <v>673</v>
      </c>
      <c r="C26" s="561"/>
      <c r="D26" s="561">
        <f>AVERAGE(D10:D20)</f>
        <v>-1.0272325500345871E-2</v>
      </c>
      <c r="E26" s="561">
        <f>LN(E20/E9)/11</f>
        <v>3.9769465621343203E-2</v>
      </c>
      <c r="F26" s="561">
        <f>LN(F20/F9)/11</f>
        <v>2.1759100738032951E-2</v>
      </c>
      <c r="G26" s="561">
        <f>LN(G20/G9)/11</f>
        <v>1.8010364883310256E-2</v>
      </c>
      <c r="H26" s="561">
        <f>LN(H20/H9)/11</f>
        <v>-6.3513139842297818E-3</v>
      </c>
      <c r="I26" s="649"/>
      <c r="J26" s="561"/>
      <c r="K26" s="561">
        <f>AVERAGE(K10:K20)</f>
        <v>-2.8282690383656148E-2</v>
      </c>
      <c r="L26" s="649"/>
      <c r="M26" s="561"/>
      <c r="N26" s="561">
        <f>AVERAGE(N10:N20)</f>
        <v>-3.921011516116066E-3</v>
      </c>
      <c r="O26" s="649"/>
      <c r="P26" s="641">
        <f>AVERAGE(P10:P20)</f>
        <v>0.12458728325734546</v>
      </c>
      <c r="Q26" s="641">
        <f>AVERAGE(Q10:Q20)</f>
        <v>0.87541271674265453</v>
      </c>
      <c r="R26" s="561">
        <f>AVERAGE(R10:R20)</f>
        <v>-6.0721866794125083E-3</v>
      </c>
      <c r="S26" s="612"/>
      <c r="T26" s="38"/>
    </row>
    <row r="27" spans="1:20" ht="15" x14ac:dyDescent="0.25">
      <c r="A27" s="38"/>
      <c r="B27" s="619"/>
      <c r="C27" s="615"/>
      <c r="D27" s="563"/>
      <c r="E27" s="615"/>
      <c r="F27" s="615"/>
      <c r="G27" s="615"/>
      <c r="H27" s="615"/>
      <c r="I27" s="618"/>
      <c r="J27" s="615"/>
      <c r="K27" s="615"/>
      <c r="L27" s="618"/>
      <c r="M27" s="615"/>
      <c r="N27" s="615"/>
      <c r="O27" s="618"/>
      <c r="P27" s="615"/>
      <c r="Q27" s="615"/>
      <c r="R27" s="615"/>
      <c r="S27" s="38"/>
    </row>
    <row r="28" spans="1:20" ht="15.75" x14ac:dyDescent="0.25">
      <c r="A28" s="38"/>
      <c r="B28" s="619" t="s">
        <v>797</v>
      </c>
      <c r="C28" s="619"/>
      <c r="D28" s="562"/>
      <c r="E28" s="619"/>
      <c r="F28" s="619"/>
      <c r="G28" s="619"/>
      <c r="H28" s="619"/>
      <c r="I28" s="614"/>
      <c r="J28" s="619"/>
      <c r="K28" s="619"/>
      <c r="L28" s="614"/>
      <c r="M28" s="619"/>
      <c r="N28" s="619"/>
      <c r="O28" s="614"/>
      <c r="P28" s="619"/>
      <c r="Q28" s="619"/>
      <c r="R28" s="619"/>
      <c r="S28" s="38"/>
    </row>
    <row r="29" spans="1:20" ht="15.75" thickBot="1" x14ac:dyDescent="0.3">
      <c r="A29" s="38"/>
      <c r="B29" s="619"/>
      <c r="C29" s="619"/>
      <c r="D29" s="562"/>
      <c r="E29" s="619"/>
      <c r="F29" s="619"/>
      <c r="G29" s="619"/>
      <c r="H29" s="619"/>
      <c r="I29" s="614"/>
      <c r="J29" s="619"/>
      <c r="K29" s="619"/>
      <c r="L29" s="614"/>
      <c r="M29" s="619"/>
      <c r="N29" s="619"/>
      <c r="O29" s="614"/>
      <c r="P29" s="619"/>
      <c r="Q29" s="619"/>
      <c r="R29" s="619"/>
      <c r="S29" s="38"/>
    </row>
    <row r="30" spans="1:20" ht="39.75" thickBot="1" x14ac:dyDescent="0.3">
      <c r="A30" s="664" t="s">
        <v>299</v>
      </c>
      <c r="B30" s="540"/>
      <c r="C30" s="721" t="s">
        <v>862</v>
      </c>
      <c r="D30" s="666"/>
      <c r="E30" s="721" t="s">
        <v>862</v>
      </c>
      <c r="F30" s="721" t="s">
        <v>862</v>
      </c>
      <c r="G30" s="665" t="s">
        <v>810</v>
      </c>
      <c r="H30" s="721" t="s">
        <v>862</v>
      </c>
      <c r="I30" s="540"/>
      <c r="J30" s="665" t="s">
        <v>811</v>
      </c>
      <c r="K30" s="540"/>
      <c r="L30" s="540"/>
      <c r="M30" s="665" t="s">
        <v>812</v>
      </c>
      <c r="N30" s="540"/>
      <c r="O30" s="540"/>
      <c r="P30" s="540"/>
      <c r="Q30" s="721" t="s">
        <v>862</v>
      </c>
      <c r="R30" s="720" t="s">
        <v>842</v>
      </c>
    </row>
    <row r="31" spans="1:20" ht="15" x14ac:dyDescent="0.25">
      <c r="D31" s="559"/>
    </row>
    <row r="32" spans="1:20" ht="15" x14ac:dyDescent="0.25">
      <c r="D32" s="559"/>
    </row>
    <row r="33" spans="4:4" ht="15" x14ac:dyDescent="0.25">
      <c r="D33" s="559"/>
    </row>
    <row r="34" spans="4:4" ht="15" x14ac:dyDescent="0.25">
      <c r="D34" s="559"/>
    </row>
    <row r="35" spans="4:4" ht="15" x14ac:dyDescent="0.25">
      <c r="D35" s="559"/>
    </row>
    <row r="36" spans="4:4" ht="15" x14ac:dyDescent="0.25">
      <c r="D36" s="559"/>
    </row>
  </sheetData>
  <mergeCells count="7">
    <mergeCell ref="B1:R1"/>
    <mergeCell ref="B3:Q3"/>
    <mergeCell ref="C6:D6"/>
    <mergeCell ref="G6:H6"/>
    <mergeCell ref="J6:K6"/>
    <mergeCell ref="M6:N6"/>
    <mergeCell ref="P6:Q6"/>
  </mergeCells>
  <pageMargins left="0.7" right="0.7" top="0.75" bottom="0.75" header="0.3" footer="0.3"/>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54"/>
  <sheetViews>
    <sheetView topLeftCell="A4" workbookViewId="0">
      <selection activeCell="J52" sqref="J52"/>
    </sheetView>
  </sheetViews>
  <sheetFormatPr defaultColWidth="8.85546875" defaultRowHeight="12.75" x14ac:dyDescent="0.2"/>
  <cols>
    <col min="1" max="2" width="1.140625" customWidth="1"/>
    <col min="3" max="3" width="11.140625" customWidth="1"/>
    <col min="4" max="9" width="9.42578125" customWidth="1"/>
    <col min="10" max="10" width="21.5703125" customWidth="1"/>
    <col min="11" max="11" width="9.140625" customWidth="1"/>
    <col min="12" max="12" width="8.140625" customWidth="1"/>
    <col min="13" max="13" width="9.7109375" customWidth="1"/>
    <col min="14" max="16" width="9" customWidth="1"/>
    <col min="17" max="17" width="9.7109375" customWidth="1"/>
    <col min="18" max="18" width="11.140625" customWidth="1"/>
  </cols>
  <sheetData>
    <row r="1" spans="3:20" hidden="1" x14ac:dyDescent="0.2"/>
    <row r="2" spans="3:20" hidden="1" x14ac:dyDescent="0.2"/>
    <row r="3" spans="3:20" hidden="1" x14ac:dyDescent="0.2"/>
    <row r="5" spans="3:20" ht="18" x14ac:dyDescent="0.25">
      <c r="C5" s="757" t="s">
        <v>655</v>
      </c>
      <c r="D5" s="757"/>
      <c r="E5" s="757"/>
      <c r="F5" s="757"/>
      <c r="G5" s="757"/>
      <c r="H5" s="757"/>
      <c r="I5" s="757"/>
      <c r="J5" s="757"/>
      <c r="K5" s="757"/>
      <c r="L5" s="757"/>
      <c r="M5" s="757"/>
      <c r="N5" s="757"/>
      <c r="O5" s="757"/>
      <c r="P5" s="757"/>
    </row>
    <row r="7" spans="3:20" x14ac:dyDescent="0.2">
      <c r="D7" s="756" t="s">
        <v>656</v>
      </c>
      <c r="E7" s="756"/>
      <c r="F7" s="756"/>
      <c r="G7" s="756"/>
      <c r="H7" s="756"/>
      <c r="I7" s="756"/>
      <c r="K7" s="756" t="s">
        <v>659</v>
      </c>
      <c r="L7" s="756"/>
      <c r="M7" s="756"/>
      <c r="N7" s="756"/>
      <c r="O7" s="756"/>
      <c r="P7" s="756"/>
      <c r="Q7" s="756"/>
      <c r="R7" s="756"/>
    </row>
    <row r="8" spans="3:20" ht="51" x14ac:dyDescent="0.2">
      <c r="D8" s="473" t="s">
        <v>675</v>
      </c>
      <c r="E8" s="473" t="s">
        <v>657</v>
      </c>
      <c r="F8" s="473" t="s">
        <v>674</v>
      </c>
      <c r="G8" s="473" t="s">
        <v>660</v>
      </c>
      <c r="H8" s="473" t="s">
        <v>661</v>
      </c>
      <c r="I8" s="473" t="s">
        <v>16</v>
      </c>
      <c r="K8" s="473" t="s">
        <v>675</v>
      </c>
      <c r="L8" s="473" t="s">
        <v>657</v>
      </c>
      <c r="M8" s="473" t="s">
        <v>674</v>
      </c>
      <c r="N8" s="473" t="s">
        <v>660</v>
      </c>
      <c r="O8" s="473" t="s">
        <v>661</v>
      </c>
      <c r="P8" s="473" t="s">
        <v>665</v>
      </c>
      <c r="Q8" s="473" t="s">
        <v>676</v>
      </c>
      <c r="R8" s="473" t="s">
        <v>677</v>
      </c>
    </row>
    <row r="9" spans="3:20" x14ac:dyDescent="0.2">
      <c r="D9" s="460"/>
      <c r="E9" s="460"/>
      <c r="F9" s="460"/>
      <c r="G9" s="460"/>
      <c r="H9" s="460"/>
      <c r="I9" s="460"/>
      <c r="K9" s="460"/>
      <c r="L9" s="460"/>
      <c r="M9" s="460"/>
      <c r="N9" s="460"/>
      <c r="O9" s="460"/>
      <c r="P9" s="460"/>
    </row>
    <row r="10" spans="3:20" x14ac:dyDescent="0.2">
      <c r="C10" s="425">
        <v>2002</v>
      </c>
      <c r="D10" s="427"/>
      <c r="E10" s="444"/>
      <c r="F10" s="444"/>
      <c r="G10" s="444"/>
      <c r="H10" s="444"/>
      <c r="K10" s="112"/>
      <c r="L10" s="112"/>
      <c r="M10" s="112"/>
      <c r="N10" s="112"/>
      <c r="O10" s="112"/>
      <c r="P10" s="112"/>
    </row>
    <row r="11" spans="3:20" x14ac:dyDescent="0.2">
      <c r="C11" s="425">
        <v>2003</v>
      </c>
      <c r="D11" s="112">
        <f>TFP_Calcs!K27</f>
        <v>9.798200749981674E-2</v>
      </c>
      <c r="E11" s="112">
        <f>TFP_Calcs!J27</f>
        <v>5.7091816730548986E-2</v>
      </c>
      <c r="F11" s="112">
        <f>TFP_Calcs!I27</f>
        <v>2.2220802286072934E-2</v>
      </c>
      <c r="G11" s="112">
        <f>D11-E11</f>
        <v>4.0890190769267754E-2</v>
      </c>
      <c r="H11" s="112">
        <f>D11-F11</f>
        <v>7.5761205213743799E-2</v>
      </c>
      <c r="I11" s="112">
        <f>TFP_Calcs!I100</f>
        <v>7.1069017706203191E-2</v>
      </c>
      <c r="K11" s="455">
        <v>7.6449517249374613E-2</v>
      </c>
      <c r="L11" s="455">
        <v>4.5475821715575883E-2</v>
      </c>
      <c r="M11" s="455">
        <v>2.6857030513121109E-2</v>
      </c>
      <c r="N11" s="455">
        <v>3.097369553379873E-2</v>
      </c>
      <c r="O11" s="455">
        <v>4.9592486736253508E-2</v>
      </c>
      <c r="P11" s="455">
        <v>4.7320019787950765E-2</v>
      </c>
      <c r="Q11" s="548">
        <f>M11-K11</f>
        <v>-4.9592486736253508E-2</v>
      </c>
      <c r="R11" s="548">
        <f>P11+Q11</f>
        <v>-2.2724669483027427E-3</v>
      </c>
      <c r="S11" s="550"/>
    </row>
    <row r="12" spans="3:20" x14ac:dyDescent="0.2">
      <c r="C12" s="425">
        <v>2004</v>
      </c>
      <c r="D12" s="112">
        <f>TFP_Calcs!K28</f>
        <v>-3.6897791984353397E-2</v>
      </c>
      <c r="E12" s="112">
        <f>TFP_Calcs!J28</f>
        <v>4.085933916997752E-2</v>
      </c>
      <c r="F12" s="112">
        <f>TFP_Calcs!I28</f>
        <v>1.4858938665436327E-3</v>
      </c>
      <c r="G12" s="112">
        <f t="shared" ref="G12:G22" si="0">D12-E12</f>
        <v>-7.7757131154330916E-2</v>
      </c>
      <c r="H12" s="112">
        <f t="shared" ref="H12:H22" si="1">D12-F12</f>
        <v>-3.8383685850897027E-2</v>
      </c>
      <c r="I12" s="112">
        <f>TFP_Calcs!I101</f>
        <v>-4.3531071982653456E-2</v>
      </c>
      <c r="K12" s="455">
        <v>-3.0938432067021085E-2</v>
      </c>
      <c r="L12" s="455">
        <v>5.3356382216322634E-2</v>
      </c>
      <c r="M12" s="455">
        <v>1.7915009416571107E-3</v>
      </c>
      <c r="N12" s="455">
        <v>-8.4294814283343719E-2</v>
      </c>
      <c r="O12" s="455">
        <v>-3.2729933008678193E-2</v>
      </c>
      <c r="P12" s="455">
        <v>-3.8964638602810651E-2</v>
      </c>
      <c r="Q12" s="548">
        <f t="shared" ref="Q12:Q22" si="2">M12-K12</f>
        <v>3.2729933008678193E-2</v>
      </c>
      <c r="R12" s="548">
        <f t="shared" ref="R12:R22" si="3">P12+Q12</f>
        <v>-6.2347055941324586E-3</v>
      </c>
      <c r="S12" s="550"/>
    </row>
    <row r="13" spans="3:20" x14ac:dyDescent="0.2">
      <c r="C13" s="425">
        <v>2005</v>
      </c>
      <c r="D13" s="112">
        <f>TFP_Calcs!K29</f>
        <v>1.6443387407344325E-2</v>
      </c>
      <c r="E13" s="112">
        <f>TFP_Calcs!J29</f>
        <v>1.0076246022067199E-2</v>
      </c>
      <c r="F13" s="112">
        <f>TFP_Calcs!I29</f>
        <v>-6.8965035546078579E-4</v>
      </c>
      <c r="G13" s="112">
        <f t="shared" si="0"/>
        <v>6.3671413852771259E-3</v>
      </c>
      <c r="H13" s="112">
        <f t="shared" si="1"/>
        <v>1.7133037762805111E-2</v>
      </c>
      <c r="I13" s="112">
        <f>TFP_Calcs!I102</f>
        <v>1.5768471560359369E-2</v>
      </c>
      <c r="K13" s="455">
        <v>1.3926477743654065E-2</v>
      </c>
      <c r="L13" s="455">
        <v>2.3145454346420163E-2</v>
      </c>
      <c r="M13" s="455">
        <v>-5.7715460487131593E-5</v>
      </c>
      <c r="N13" s="455">
        <v>-9.2189766027660977E-3</v>
      </c>
      <c r="O13" s="455">
        <v>1.3984193204141196E-2</v>
      </c>
      <c r="P13" s="455">
        <v>1.1216726396021387E-2</v>
      </c>
      <c r="Q13" s="548">
        <f t="shared" si="2"/>
        <v>-1.3984193204141196E-2</v>
      </c>
      <c r="R13" s="548">
        <f t="shared" si="3"/>
        <v>-2.7674668081198086E-3</v>
      </c>
      <c r="S13" s="550"/>
    </row>
    <row r="14" spans="3:20" x14ac:dyDescent="0.2">
      <c r="C14" s="425">
        <v>2006</v>
      </c>
      <c r="D14" s="112">
        <f>TFP_Calcs!K30</f>
        <v>1.78912250809613E-2</v>
      </c>
      <c r="E14" s="112">
        <f>TFP_Calcs!J30</f>
        <v>3.3864518115136577E-2</v>
      </c>
      <c r="F14" s="112">
        <f>TFP_Calcs!I30</f>
        <v>2.0541389749134595E-3</v>
      </c>
      <c r="G14" s="112">
        <f t="shared" si="0"/>
        <v>-1.5973293034175277E-2</v>
      </c>
      <c r="H14" s="112">
        <f t="shared" si="1"/>
        <v>1.5837086106047841E-2</v>
      </c>
      <c r="I14" s="112">
        <f>TFP_Calcs!I103</f>
        <v>1.1703552587347892E-2</v>
      </c>
      <c r="K14" s="455">
        <v>4.839777727337502E-2</v>
      </c>
      <c r="L14" s="455">
        <v>4.2253124700774187E-4</v>
      </c>
      <c r="M14" s="455">
        <v>2.4741558010837801E-3</v>
      </c>
      <c r="N14" s="455">
        <v>4.7975246026367276E-2</v>
      </c>
      <c r="O14" s="455">
        <v>4.5923621472291239E-2</v>
      </c>
      <c r="P14" s="455">
        <v>4.6172238846832629E-2</v>
      </c>
      <c r="Q14" s="548">
        <f t="shared" si="2"/>
        <v>-4.5923621472291239E-2</v>
      </c>
      <c r="R14" s="548">
        <f t="shared" si="3"/>
        <v>2.4861737454139055E-4</v>
      </c>
      <c r="S14" s="550"/>
      <c r="T14" s="18"/>
    </row>
    <row r="15" spans="3:20" x14ac:dyDescent="0.2">
      <c r="C15" s="425">
        <v>2007</v>
      </c>
      <c r="D15" s="112">
        <f>TFP_Calcs!K31</f>
        <v>-0.17976484797186745</v>
      </c>
      <c r="E15" s="112">
        <f>TFP_Calcs!J31</f>
        <v>5.1679482811170227E-2</v>
      </c>
      <c r="F15" s="112">
        <f>TFP_Calcs!I31</f>
        <v>-2.1690951332448152E-2</v>
      </c>
      <c r="G15" s="112">
        <f t="shared" si="0"/>
        <v>-0.23144433078303767</v>
      </c>
      <c r="H15" s="112">
        <f t="shared" si="1"/>
        <v>-0.15807389663941929</v>
      </c>
      <c r="I15" s="112">
        <f>TFP_Calcs!I104</f>
        <v>-0.1697948716824923</v>
      </c>
      <c r="K15" s="455">
        <v>-0.19894913487255803</v>
      </c>
      <c r="L15" s="455">
        <v>7.9718467138115798E-2</v>
      </c>
      <c r="M15" s="455">
        <v>-2.6179139059813349E-2</v>
      </c>
      <c r="N15" s="455">
        <v>-0.27866760201067381</v>
      </c>
      <c r="O15" s="455">
        <v>-0.17276999581274469</v>
      </c>
      <c r="P15" s="455">
        <v>-0.18887601335088217</v>
      </c>
      <c r="Q15" s="548">
        <f t="shared" si="2"/>
        <v>0.17276999581274469</v>
      </c>
      <c r="R15" s="548">
        <f t="shared" si="3"/>
        <v>-1.6106017538137479E-2</v>
      </c>
      <c r="S15" s="550"/>
      <c r="T15" s="18"/>
    </row>
    <row r="16" spans="3:20" x14ac:dyDescent="0.2">
      <c r="C16" s="425">
        <v>2008</v>
      </c>
      <c r="D16" s="112">
        <f>TFP_Calcs!K32</f>
        <v>5.1834335943315629E-2</v>
      </c>
      <c r="E16" s="112">
        <f>TFP_Calcs!J32</f>
        <v>5.4146086559287411E-2</v>
      </c>
      <c r="F16" s="112">
        <f>TFP_Calcs!I32</f>
        <v>1.0569148759234587E-2</v>
      </c>
      <c r="G16" s="112">
        <f t="shared" si="0"/>
        <v>-2.3117506159717818E-3</v>
      </c>
      <c r="H16" s="112">
        <f t="shared" si="1"/>
        <v>4.1265187184081044E-2</v>
      </c>
      <c r="I16" s="112">
        <f>TFP_Calcs!I105</f>
        <v>3.4038204261713147E-2</v>
      </c>
      <c r="K16" s="455">
        <v>7.3060803429540327E-2</v>
      </c>
      <c r="L16" s="455">
        <v>5.9607782187429174E-2</v>
      </c>
      <c r="M16" s="455">
        <v>1.2770745656190576E-2</v>
      </c>
      <c r="N16" s="455">
        <v>1.3453021242111153E-2</v>
      </c>
      <c r="O16" s="455">
        <v>6.0290057773349753E-2</v>
      </c>
      <c r="P16" s="455">
        <v>5.2737224911805908E-2</v>
      </c>
      <c r="Q16" s="548">
        <f t="shared" si="2"/>
        <v>-6.0290057773349753E-2</v>
      </c>
      <c r="R16" s="548">
        <f t="shared" si="3"/>
        <v>-7.5528328615438456E-3</v>
      </c>
      <c r="S16" s="550"/>
    </row>
    <row r="17" spans="3:19" x14ac:dyDescent="0.2">
      <c r="C17" s="425">
        <v>2009</v>
      </c>
      <c r="D17" s="112">
        <f>TFP_Calcs!K33</f>
        <v>9.3983042880373985E-2</v>
      </c>
      <c r="E17" s="112">
        <f>TFP_Calcs!J33</f>
        <v>-1.841525895632453E-2</v>
      </c>
      <c r="F17" s="112">
        <f>TFP_Calcs!I33</f>
        <v>1.7155271386904165E-3</v>
      </c>
      <c r="G17" s="112">
        <f t="shared" si="0"/>
        <v>0.11239830183669852</v>
      </c>
      <c r="H17" s="112">
        <f t="shared" si="1"/>
        <v>9.226751574168357E-2</v>
      </c>
      <c r="I17" s="112">
        <f>TFP_Calcs!I106</f>
        <v>9.6072419402832634E-2</v>
      </c>
      <c r="K17" s="455">
        <v>9.1282415982402332E-2</v>
      </c>
      <c r="L17" s="455">
        <v>-3.8281559596196377E-2</v>
      </c>
      <c r="M17" s="455">
        <v>2.0702350099170578E-3</v>
      </c>
      <c r="N17" s="455">
        <v>0.12956397557859872</v>
      </c>
      <c r="O17" s="455">
        <v>8.9212180972485275E-2</v>
      </c>
      <c r="P17" s="455">
        <v>9.6460869565780274E-2</v>
      </c>
      <c r="Q17" s="548">
        <f t="shared" si="2"/>
        <v>-8.9212180972485275E-2</v>
      </c>
      <c r="R17" s="548">
        <f t="shared" si="3"/>
        <v>7.2486885932949996E-3</v>
      </c>
      <c r="S17" s="550"/>
    </row>
    <row r="18" spans="3:19" x14ac:dyDescent="0.2">
      <c r="C18" s="425">
        <v>2010</v>
      </c>
      <c r="D18" s="112">
        <f>TFP_Calcs!K34</f>
        <v>-4.6528382019298452E-2</v>
      </c>
      <c r="E18" s="112">
        <f>TFP_Calcs!J34</f>
        <v>5.0657595032374665E-2</v>
      </c>
      <c r="F18" s="112">
        <f>TFP_Calcs!I34</f>
        <v>1.4628882694284971E-4</v>
      </c>
      <c r="G18" s="112">
        <f t="shared" si="0"/>
        <v>-9.7185977051673117E-2</v>
      </c>
      <c r="H18" s="112">
        <f t="shared" si="1"/>
        <v>-4.6674670846241301E-2</v>
      </c>
      <c r="I18" s="112">
        <f>TFP_Calcs!I107</f>
        <v>-5.8485597252319325E-2</v>
      </c>
      <c r="K18" s="455">
        <v>-7.4202515268896249E-2</v>
      </c>
      <c r="L18" s="455">
        <v>2.1392951606925049E-2</v>
      </c>
      <c r="M18" s="455">
        <v>1.7650200896922465E-4</v>
      </c>
      <c r="N18" s="455">
        <v>-9.5595466875821294E-2</v>
      </c>
      <c r="O18" s="455">
        <v>-7.4379017277865472E-2</v>
      </c>
      <c r="P18" s="455">
        <v>-7.89865868979365E-2</v>
      </c>
      <c r="Q18" s="548">
        <f t="shared" si="2"/>
        <v>7.4379017277865472E-2</v>
      </c>
      <c r="R18" s="548">
        <f>P18+Q18</f>
        <v>-4.6075696200710281E-3</v>
      </c>
      <c r="S18" s="550"/>
    </row>
    <row r="19" spans="3:19" x14ac:dyDescent="0.2">
      <c r="C19" s="425">
        <v>2011</v>
      </c>
      <c r="D19" s="112">
        <f>TFP_Calcs!K35</f>
        <v>5.6944918137356512E-2</v>
      </c>
      <c r="E19" s="112">
        <f>TFP_Calcs!J35</f>
        <v>-5.4852685061619125E-2</v>
      </c>
      <c r="F19" s="112">
        <f>TFP_Calcs!I35</f>
        <v>-1.23241321288384E-2</v>
      </c>
      <c r="G19" s="112">
        <f t="shared" si="0"/>
        <v>0.11179760319897564</v>
      </c>
      <c r="H19" s="112">
        <f t="shared" si="1"/>
        <v>6.9269050266194912E-2</v>
      </c>
      <c r="I19" s="112">
        <f>TFP_Calcs!I108</f>
        <v>7.9673998826519599E-2</v>
      </c>
      <c r="K19" s="455">
        <v>6.2553023234875715E-2</v>
      </c>
      <c r="L19" s="455">
        <v>-4.2991851864444298E-2</v>
      </c>
      <c r="M19" s="455">
        <v>-1.4888255406682739E-2</v>
      </c>
      <c r="N19" s="455">
        <v>0.10554487509932001</v>
      </c>
      <c r="O19" s="455">
        <v>7.7441278641558448E-2</v>
      </c>
      <c r="P19" s="455">
        <v>8.386295986178964E-2</v>
      </c>
      <c r="Q19" s="548">
        <f t="shared" si="2"/>
        <v>-7.7441278641558448E-2</v>
      </c>
      <c r="R19" s="548">
        <f t="shared" si="3"/>
        <v>6.4216812202311929E-3</v>
      </c>
      <c r="S19" s="550"/>
    </row>
    <row r="20" spans="3:19" x14ac:dyDescent="0.2">
      <c r="C20" s="425">
        <v>2012</v>
      </c>
      <c r="D20" s="112">
        <f>TFP_Calcs!K36</f>
        <v>-0.1438081904909089</v>
      </c>
      <c r="E20" s="112">
        <f>TFP_Calcs!J36</f>
        <v>-6.4192274894958982E-3</v>
      </c>
      <c r="F20" s="112">
        <f>TFP_Calcs!I36</f>
        <v>3.1860467943980487E-3</v>
      </c>
      <c r="G20" s="112">
        <f t="shared" si="0"/>
        <v>-0.13738896300141301</v>
      </c>
      <c r="H20" s="112">
        <f t="shared" si="1"/>
        <v>-0.14699423728530694</v>
      </c>
      <c r="I20" s="112">
        <f>TFP_Calcs!I109</f>
        <v>-0.14421881712501425</v>
      </c>
      <c r="K20" s="455">
        <v>-0.14906759232441757</v>
      </c>
      <c r="L20" s="455">
        <v>1.5137365063603897E-3</v>
      </c>
      <c r="M20" s="455">
        <v>3.8525904761392963E-3</v>
      </c>
      <c r="N20" s="455">
        <v>-0.15058132883077796</v>
      </c>
      <c r="O20" s="455">
        <v>-0.15292018280055686</v>
      </c>
      <c r="P20" s="455">
        <v>-0.15226678357185228</v>
      </c>
      <c r="Q20" s="548">
        <f t="shared" si="2"/>
        <v>0.15292018280055686</v>
      </c>
      <c r="R20" s="548">
        <f t="shared" si="3"/>
        <v>6.53399228704582E-4</v>
      </c>
      <c r="S20" s="550"/>
    </row>
    <row r="21" spans="3:19" ht="11.25" customHeight="1" x14ac:dyDescent="0.2">
      <c r="C21" s="425">
        <v>2013</v>
      </c>
      <c r="D21" s="112">
        <f>TFP_Calcs!K37</f>
        <v>2.5549678705396178E-2</v>
      </c>
      <c r="E21" s="112">
        <f>TFP_Calcs!J37</f>
        <v>-1.0274711694023772E-3</v>
      </c>
      <c r="F21" s="112">
        <f>TFP_Calcs!I37</f>
        <v>5.1742641085252335E-3</v>
      </c>
      <c r="G21" s="112">
        <f t="shared" si="0"/>
        <v>2.6577149874798554E-2</v>
      </c>
      <c r="H21" s="112">
        <f t="shared" si="1"/>
        <v>2.0375414596870943E-2</v>
      </c>
      <c r="I21" s="112">
        <f>TFP_Calcs!I110</f>
        <v>2.2195217767604056E-2</v>
      </c>
      <c r="K21" s="455">
        <v>1.3933238536297301E-2</v>
      </c>
      <c r="L21" s="455">
        <v>1.6800315274764781E-3</v>
      </c>
      <c r="M21" s="455">
        <v>6.2513028212646208E-3</v>
      </c>
      <c r="N21" s="455">
        <v>1.2253207008820823E-2</v>
      </c>
      <c r="O21" s="455">
        <v>7.6819357150326797E-3</v>
      </c>
      <c r="P21" s="455">
        <v>8.9954941523189644E-3</v>
      </c>
      <c r="Q21" s="548">
        <f t="shared" si="2"/>
        <v>-7.6819357150326797E-3</v>
      </c>
      <c r="R21" s="548">
        <f t="shared" si="3"/>
        <v>1.3135584372862847E-3</v>
      </c>
      <c r="S21" s="550"/>
    </row>
    <row r="22" spans="3:19" x14ac:dyDescent="0.2">
      <c r="C22" s="425">
        <v>2014</v>
      </c>
      <c r="D22" s="112">
        <f>TFP_Calcs!K38</f>
        <v>-2.9959775114263447E-2</v>
      </c>
      <c r="E22" s="112">
        <f>TFP_Calcs!J38</f>
        <v>4.1882484866608838E-3</v>
      </c>
      <c r="F22" s="112">
        <f>TFP_Calcs!I38</f>
        <v>6.6579858771523255E-3</v>
      </c>
      <c r="G22" s="112">
        <f t="shared" si="0"/>
        <v>-3.4148023600924331E-2</v>
      </c>
      <c r="H22" s="112">
        <f t="shared" si="1"/>
        <v>-3.6617760991415775E-2</v>
      </c>
      <c r="I22" s="112">
        <f>TFP_Calcs!I111</f>
        <v>-3.601023203046403E-2</v>
      </c>
      <c r="K22" s="455">
        <v>-4.5561028436317014E-2</v>
      </c>
      <c r="L22" s="455">
        <v>4.2825730578241097E-3</v>
      </c>
      <c r="M22" s="455">
        <v>8.0340031338472125E-3</v>
      </c>
      <c r="N22" s="455">
        <v>-4.9843601494141125E-2</v>
      </c>
      <c r="O22" s="455">
        <v>-5.3595031570164223E-2</v>
      </c>
      <c r="P22" s="455">
        <v>-5.2691881470256469E-2</v>
      </c>
      <c r="Q22" s="548">
        <f t="shared" si="2"/>
        <v>5.3595031570164223E-2</v>
      </c>
      <c r="R22" s="548">
        <f t="shared" si="3"/>
        <v>9.0315009990775408E-4</v>
      </c>
      <c r="S22" s="550"/>
    </row>
    <row r="23" spans="3:19" x14ac:dyDescent="0.2">
      <c r="K23" s="18"/>
      <c r="L23" s="18"/>
      <c r="M23" s="18"/>
      <c r="N23" s="18"/>
      <c r="O23" s="18"/>
      <c r="P23" s="18"/>
      <c r="Q23" s="18"/>
      <c r="R23" s="18"/>
      <c r="S23" s="550"/>
    </row>
    <row r="24" spans="3:19" ht="15" x14ac:dyDescent="0.25">
      <c r="C24" s="469" t="s">
        <v>678</v>
      </c>
      <c r="K24" s="18"/>
      <c r="L24" s="18"/>
      <c r="M24" s="18"/>
      <c r="N24" s="18"/>
      <c r="O24" s="18"/>
      <c r="P24" s="18"/>
      <c r="Q24" s="18"/>
      <c r="R24" s="18"/>
      <c r="S24" s="550"/>
    </row>
    <row r="25" spans="3:19" ht="15" x14ac:dyDescent="0.25">
      <c r="C25" s="469" t="s">
        <v>638</v>
      </c>
      <c r="D25" s="477">
        <f t="shared" ref="D25:I25" si="4">AVERAGE(D11:D22)</f>
        <v>-6.3608659938439146E-3</v>
      </c>
      <c r="E25" s="477">
        <f t="shared" si="4"/>
        <v>1.8487390854198461E-2</v>
      </c>
      <c r="F25" s="477">
        <f t="shared" si="4"/>
        <v>1.5421135679771793E-3</v>
      </c>
      <c r="G25" s="477">
        <f t="shared" si="4"/>
        <v>-2.4848256848042382E-2</v>
      </c>
      <c r="H25" s="477">
        <f t="shared" si="4"/>
        <v>-7.9029795618210941E-3</v>
      </c>
      <c r="I25" s="477">
        <f t="shared" si="4"/>
        <v>-1.0126642330030288E-2</v>
      </c>
      <c r="J25" s="478"/>
      <c r="K25" s="477">
        <f t="shared" ref="K25:R25" si="5">AVERAGE(K11:K22)</f>
        <v>-9.9262874599742156E-3</v>
      </c>
      <c r="L25" s="477">
        <f t="shared" si="5"/>
        <v>1.7443526674068063E-2</v>
      </c>
      <c r="M25" s="660">
        <f t="shared" si="5"/>
        <v>1.9294130362672304E-3</v>
      </c>
      <c r="N25" s="477">
        <f t="shared" si="5"/>
        <v>-2.7369814134042273E-2</v>
      </c>
      <c r="O25" s="477">
        <f t="shared" si="5"/>
        <v>-1.1855700496241442E-2</v>
      </c>
      <c r="P25" s="477">
        <f t="shared" si="5"/>
        <v>-1.3751697530936543E-2</v>
      </c>
      <c r="Q25" s="477">
        <f t="shared" si="5"/>
        <v>1.1855700496241442E-2</v>
      </c>
      <c r="R25" s="661">
        <f t="shared" si="5"/>
        <v>-1.8959970346950968E-3</v>
      </c>
      <c r="S25" s="550"/>
    </row>
    <row r="26" spans="3:19" x14ac:dyDescent="0.2">
      <c r="C26" s="38"/>
    </row>
    <row r="27" spans="3:19" hidden="1" x14ac:dyDescent="0.2"/>
    <row r="28" spans="3:19" hidden="1" x14ac:dyDescent="0.2">
      <c r="C28" s="433"/>
      <c r="D28" s="758" t="s">
        <v>664</v>
      </c>
      <c r="E28" s="758"/>
      <c r="F28" s="758"/>
      <c r="G28" s="758"/>
      <c r="H28" s="758"/>
      <c r="I28" s="758"/>
      <c r="J28" s="433"/>
      <c r="K28" s="758" t="s">
        <v>659</v>
      </c>
      <c r="L28" s="758"/>
      <c r="M28" s="758"/>
      <c r="N28" s="758"/>
      <c r="O28" s="758"/>
      <c r="P28" s="758"/>
    </row>
    <row r="29" spans="3:19" hidden="1" x14ac:dyDescent="0.2">
      <c r="C29" s="433"/>
      <c r="D29" s="465" t="s">
        <v>8</v>
      </c>
      <c r="E29" s="465" t="s">
        <v>657</v>
      </c>
      <c r="F29" s="465" t="s">
        <v>658</v>
      </c>
      <c r="G29" s="465" t="s">
        <v>660</v>
      </c>
      <c r="H29" s="465" t="s">
        <v>661</v>
      </c>
      <c r="I29" s="465" t="s">
        <v>16</v>
      </c>
      <c r="J29" s="433"/>
      <c r="K29" s="465" t="s">
        <v>8</v>
      </c>
      <c r="L29" s="465" t="s">
        <v>657</v>
      </c>
      <c r="M29" s="465" t="s">
        <v>658</v>
      </c>
      <c r="N29" s="465" t="s">
        <v>660</v>
      </c>
      <c r="O29" s="465" t="s">
        <v>661</v>
      </c>
      <c r="P29" s="465" t="s">
        <v>16</v>
      </c>
    </row>
    <row r="30" spans="3:19" hidden="1" x14ac:dyDescent="0.2">
      <c r="C30" s="433"/>
      <c r="D30" s="465"/>
      <c r="E30" s="465"/>
      <c r="F30" s="465"/>
      <c r="G30" s="465"/>
      <c r="H30" s="465"/>
      <c r="I30" s="465"/>
      <c r="J30" s="433"/>
      <c r="K30" s="465"/>
      <c r="L30" s="465"/>
      <c r="M30" s="465"/>
      <c r="N30" s="465"/>
      <c r="O30" s="465"/>
      <c r="P30" s="465"/>
    </row>
    <row r="31" spans="3:19" hidden="1" x14ac:dyDescent="0.2">
      <c r="C31" s="466">
        <v>2002</v>
      </c>
      <c r="D31" s="440"/>
      <c r="E31" s="454"/>
      <c r="F31" s="454"/>
      <c r="G31" s="454"/>
      <c r="H31" s="454"/>
      <c r="I31" s="433"/>
      <c r="J31" s="433"/>
      <c r="K31" s="456"/>
      <c r="L31" s="456"/>
      <c r="M31" s="456"/>
      <c r="N31" s="456"/>
      <c r="O31" s="456"/>
      <c r="P31" s="456"/>
    </row>
    <row r="32" spans="3:19" hidden="1" x14ac:dyDescent="0.2">
      <c r="C32" s="466">
        <v>2003</v>
      </c>
      <c r="D32" s="456"/>
      <c r="E32" s="456"/>
      <c r="F32" s="456"/>
      <c r="G32" s="456"/>
      <c r="H32" s="456"/>
      <c r="I32" s="456"/>
      <c r="J32" s="433"/>
      <c r="K32" s="456"/>
      <c r="L32" s="456"/>
      <c r="M32" s="456"/>
      <c r="N32" s="456"/>
      <c r="O32" s="456"/>
      <c r="P32" s="456"/>
    </row>
    <row r="33" spans="3:16" hidden="1" x14ac:dyDescent="0.2">
      <c r="C33" s="466">
        <v>2004</v>
      </c>
      <c r="D33" s="456"/>
      <c r="E33" s="456"/>
      <c r="F33" s="456"/>
      <c r="G33" s="456"/>
      <c r="H33" s="456"/>
      <c r="I33" s="456"/>
      <c r="J33" s="433"/>
      <c r="K33" s="456"/>
      <c r="L33" s="456"/>
      <c r="M33" s="456"/>
      <c r="N33" s="456"/>
      <c r="O33" s="456"/>
      <c r="P33" s="456"/>
    </row>
    <row r="34" spans="3:16" hidden="1" x14ac:dyDescent="0.2">
      <c r="C34" s="466">
        <v>2005</v>
      </c>
      <c r="D34" s="456"/>
      <c r="E34" s="456"/>
      <c r="F34" s="456"/>
      <c r="G34" s="456"/>
      <c r="H34" s="456"/>
      <c r="I34" s="456"/>
      <c r="J34" s="433"/>
      <c r="K34" s="456"/>
      <c r="L34" s="456"/>
      <c r="M34" s="456"/>
      <c r="N34" s="456"/>
      <c r="O34" s="456"/>
      <c r="P34" s="456"/>
    </row>
    <row r="35" spans="3:16" hidden="1" x14ac:dyDescent="0.2">
      <c r="C35" s="466">
        <v>2006</v>
      </c>
      <c r="D35" s="456"/>
      <c r="E35" s="456"/>
      <c r="F35" s="456"/>
      <c r="G35" s="456"/>
      <c r="H35" s="456"/>
      <c r="I35" s="456"/>
      <c r="J35" s="433"/>
      <c r="K35" s="456"/>
      <c r="L35" s="456"/>
      <c r="M35" s="456"/>
      <c r="N35" s="456"/>
      <c r="O35" s="456"/>
      <c r="P35" s="456"/>
    </row>
    <row r="36" spans="3:16" hidden="1" x14ac:dyDescent="0.2">
      <c r="C36" s="466">
        <v>2007</v>
      </c>
      <c r="D36" s="456"/>
      <c r="E36" s="456"/>
      <c r="F36" s="456"/>
      <c r="G36" s="456"/>
      <c r="H36" s="456"/>
      <c r="I36" s="456"/>
      <c r="J36" s="433"/>
      <c r="K36" s="456"/>
      <c r="L36" s="456"/>
      <c r="M36" s="456"/>
      <c r="N36" s="456"/>
      <c r="O36" s="456"/>
      <c r="P36" s="456"/>
    </row>
    <row r="37" spans="3:16" hidden="1" x14ac:dyDescent="0.2">
      <c r="C37" s="466">
        <v>2008</v>
      </c>
      <c r="D37" s="456"/>
      <c r="E37" s="456"/>
      <c r="F37" s="456"/>
      <c r="G37" s="456"/>
      <c r="H37" s="456"/>
      <c r="I37" s="456"/>
      <c r="J37" s="433"/>
      <c r="K37" s="456"/>
      <c r="L37" s="456"/>
      <c r="M37" s="456"/>
      <c r="N37" s="456"/>
      <c r="O37" s="456"/>
      <c r="P37" s="456"/>
    </row>
    <row r="38" spans="3:16" hidden="1" x14ac:dyDescent="0.2">
      <c r="C38" s="466">
        <v>2009</v>
      </c>
      <c r="D38" s="456"/>
      <c r="E38" s="456"/>
      <c r="F38" s="456"/>
      <c r="G38" s="456"/>
      <c r="H38" s="456"/>
      <c r="I38" s="456"/>
      <c r="J38" s="433"/>
      <c r="K38" s="456"/>
      <c r="L38" s="456"/>
      <c r="M38" s="456"/>
      <c r="N38" s="456"/>
      <c r="O38" s="456"/>
      <c r="P38" s="456"/>
    </row>
    <row r="39" spans="3:16" hidden="1" x14ac:dyDescent="0.2">
      <c r="C39" s="466">
        <v>2010</v>
      </c>
      <c r="D39" s="456"/>
      <c r="E39" s="456"/>
      <c r="F39" s="456"/>
      <c r="G39" s="456"/>
      <c r="H39" s="456"/>
      <c r="I39" s="456"/>
      <c r="J39" s="433"/>
      <c r="K39" s="456"/>
      <c r="L39" s="456"/>
      <c r="M39" s="456"/>
      <c r="N39" s="456"/>
      <c r="O39" s="456"/>
      <c r="P39" s="456"/>
    </row>
    <row r="40" spans="3:16" hidden="1" x14ac:dyDescent="0.2">
      <c r="C40" s="466">
        <v>2011</v>
      </c>
      <c r="D40" s="456"/>
      <c r="E40" s="456"/>
      <c r="F40" s="456"/>
      <c r="G40" s="456"/>
      <c r="H40" s="456"/>
      <c r="I40" s="456"/>
      <c r="J40" s="433"/>
      <c r="K40" s="456"/>
      <c r="L40" s="456"/>
      <c r="M40" s="456"/>
      <c r="N40" s="456"/>
      <c r="O40" s="456"/>
      <c r="P40" s="456"/>
    </row>
    <row r="41" spans="3:16" hidden="1" x14ac:dyDescent="0.2">
      <c r="C41" s="466">
        <v>2012</v>
      </c>
      <c r="D41" s="456"/>
      <c r="E41" s="456"/>
      <c r="F41" s="456"/>
      <c r="G41" s="456"/>
      <c r="H41" s="456"/>
      <c r="I41" s="456"/>
      <c r="J41" s="433"/>
      <c r="K41" s="456"/>
      <c r="L41" s="456"/>
      <c r="M41" s="456"/>
      <c r="N41" s="456"/>
      <c r="O41" s="456"/>
      <c r="P41" s="456"/>
    </row>
    <row r="42" spans="3:16" hidden="1" x14ac:dyDescent="0.2">
      <c r="C42" s="466">
        <v>2013</v>
      </c>
      <c r="D42" s="456"/>
      <c r="E42" s="456"/>
      <c r="F42" s="456"/>
      <c r="G42" s="456"/>
      <c r="H42" s="456"/>
      <c r="I42" s="456"/>
      <c r="J42" s="433"/>
      <c r="K42" s="456"/>
      <c r="L42" s="456"/>
      <c r="M42" s="456"/>
      <c r="N42" s="456"/>
      <c r="O42" s="456"/>
      <c r="P42" s="456"/>
    </row>
    <row r="43" spans="3:16" hidden="1" x14ac:dyDescent="0.2">
      <c r="C43" s="466">
        <v>2014</v>
      </c>
      <c r="D43" s="456"/>
      <c r="E43" s="456"/>
      <c r="F43" s="456"/>
      <c r="G43" s="456"/>
      <c r="H43" s="456"/>
      <c r="I43" s="456"/>
      <c r="J43" s="433"/>
      <c r="K43" s="456"/>
      <c r="L43" s="456"/>
      <c r="M43" s="456"/>
      <c r="N43" s="456"/>
      <c r="O43" s="456"/>
      <c r="P43" s="456"/>
    </row>
    <row r="44" spans="3:16" hidden="1" x14ac:dyDescent="0.2">
      <c r="C44" s="433"/>
      <c r="D44" s="433"/>
      <c r="E44" s="433"/>
      <c r="F44" s="433"/>
      <c r="G44" s="433"/>
      <c r="H44" s="433"/>
      <c r="I44" s="433"/>
      <c r="J44" s="433"/>
      <c r="K44" s="433"/>
      <c r="L44" s="433"/>
      <c r="M44" s="433"/>
      <c r="N44" s="433"/>
      <c r="O44" s="433"/>
      <c r="P44" s="433"/>
    </row>
    <row r="45" spans="3:16" hidden="1" x14ac:dyDescent="0.2">
      <c r="C45" s="433"/>
      <c r="D45" s="443" t="e">
        <f t="shared" ref="D45:I45" si="6">AVERAGE(D32:D43)</f>
        <v>#DIV/0!</v>
      </c>
      <c r="E45" s="443" t="e">
        <f t="shared" si="6"/>
        <v>#DIV/0!</v>
      </c>
      <c r="F45" s="443" t="e">
        <f t="shared" si="6"/>
        <v>#DIV/0!</v>
      </c>
      <c r="G45" s="443" t="e">
        <f t="shared" si="6"/>
        <v>#DIV/0!</v>
      </c>
      <c r="H45" s="443" t="e">
        <f t="shared" si="6"/>
        <v>#DIV/0!</v>
      </c>
      <c r="I45" s="443" t="e">
        <f t="shared" si="6"/>
        <v>#DIV/0!</v>
      </c>
      <c r="J45" s="433"/>
      <c r="K45" s="443" t="e">
        <f t="shared" ref="K45:P45" si="7">AVERAGE(K32:K43)</f>
        <v>#DIV/0!</v>
      </c>
      <c r="L45" s="443" t="e">
        <f t="shared" si="7"/>
        <v>#DIV/0!</v>
      </c>
      <c r="M45" s="443" t="e">
        <f t="shared" si="7"/>
        <v>#DIV/0!</v>
      </c>
      <c r="N45" s="443" t="e">
        <f t="shared" si="7"/>
        <v>#DIV/0!</v>
      </c>
      <c r="O45" s="443" t="e">
        <f t="shared" si="7"/>
        <v>#DIV/0!</v>
      </c>
      <c r="P45" s="443" t="e">
        <f t="shared" si="7"/>
        <v>#DIV/0!</v>
      </c>
    </row>
    <row r="46" spans="3:16" hidden="1" x14ac:dyDescent="0.2"/>
    <row r="47" spans="3:16" hidden="1" x14ac:dyDescent="0.2"/>
    <row r="48" spans="3:16" hidden="1" x14ac:dyDescent="0.2"/>
    <row r="49" spans="3:13" hidden="1" x14ac:dyDescent="0.2"/>
    <row r="50" spans="3:13" x14ac:dyDescent="0.2">
      <c r="C50" s="18" t="s">
        <v>807</v>
      </c>
      <c r="K50" s="18" t="s">
        <v>804</v>
      </c>
      <c r="M50" s="18"/>
    </row>
    <row r="52" spans="3:13" x14ac:dyDescent="0.2">
      <c r="C52" s="18" t="s">
        <v>808</v>
      </c>
      <c r="K52" s="18" t="s">
        <v>805</v>
      </c>
    </row>
    <row r="53" spans="3:13" x14ac:dyDescent="0.2">
      <c r="C53" s="18" t="s">
        <v>809</v>
      </c>
    </row>
    <row r="54" spans="3:13" x14ac:dyDescent="0.2">
      <c r="K54" s="18" t="s">
        <v>806</v>
      </c>
    </row>
  </sheetData>
  <mergeCells count="5">
    <mergeCell ref="D7:I7"/>
    <mergeCell ref="C5:P5"/>
    <mergeCell ref="D28:I28"/>
    <mergeCell ref="K28:P28"/>
    <mergeCell ref="K7:R7"/>
  </mergeCells>
  <phoneticPr fontId="114" type="noConversion"/>
  <pageMargins left="0.7" right="0.7" top="0.75" bottom="0.75" header="0.3" footer="0.3"/>
  <pageSetup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topLeftCell="J1" workbookViewId="0">
      <selection activeCell="Y59" sqref="Y59"/>
    </sheetView>
  </sheetViews>
  <sheetFormatPr defaultColWidth="8.85546875" defaultRowHeight="12.75" x14ac:dyDescent="0.2"/>
  <cols>
    <col min="1" max="1" width="25.28515625" customWidth="1"/>
    <col min="2" max="2" width="16.28515625" customWidth="1"/>
    <col min="3" max="3" width="15" style="490" customWidth="1"/>
    <col min="4" max="6" width="14" customWidth="1"/>
    <col min="7" max="7" width="17.85546875" customWidth="1"/>
    <col min="8" max="8" width="14" customWidth="1"/>
    <col min="9" max="9" width="19.140625" customWidth="1"/>
    <col min="10" max="10" width="14" customWidth="1"/>
    <col min="11" max="11" width="17.42578125" customWidth="1"/>
    <col min="12" max="13" width="14" customWidth="1"/>
    <col min="14" max="14" width="17" customWidth="1"/>
    <col min="15" max="15" width="14" customWidth="1"/>
    <col min="16" max="19" width="14" hidden="1" customWidth="1"/>
    <col min="20" max="20" width="18" customWidth="1"/>
    <col min="21" max="21" width="17" style="444" customWidth="1"/>
    <col min="22" max="24" width="14" hidden="1" customWidth="1"/>
    <col min="25" max="25" width="14" customWidth="1"/>
    <col min="26" max="26" width="14" hidden="1" customWidth="1"/>
    <col min="27" max="27" width="14" customWidth="1"/>
    <col min="28" max="28" width="17.42578125" hidden="1" customWidth="1"/>
    <col min="29" max="29" width="14" hidden="1" customWidth="1"/>
    <col min="30" max="30" width="18.28515625" hidden="1" customWidth="1"/>
    <col min="31" max="31" width="9.28515625" bestFit="1" customWidth="1"/>
    <col min="32" max="32" width="8.42578125" customWidth="1"/>
  </cols>
  <sheetData>
    <row r="1" spans="1:30" ht="18" x14ac:dyDescent="0.25">
      <c r="B1" s="459" t="s">
        <v>699</v>
      </c>
    </row>
    <row r="2" spans="1:30" ht="13.5" thickBot="1" x14ac:dyDescent="0.25"/>
    <row r="3" spans="1:30" x14ac:dyDescent="0.2">
      <c r="B3" s="672" t="s">
        <v>299</v>
      </c>
      <c r="C3" s="673" t="s">
        <v>704</v>
      </c>
      <c r="D3" s="519" t="s">
        <v>828</v>
      </c>
      <c r="E3" s="519" t="s">
        <v>827</v>
      </c>
      <c r="F3" s="519" t="s">
        <v>827</v>
      </c>
      <c r="G3" s="519" t="s">
        <v>827</v>
      </c>
      <c r="H3" s="519" t="s">
        <v>828</v>
      </c>
      <c r="I3" s="519" t="s">
        <v>828</v>
      </c>
      <c r="J3" s="519" t="s">
        <v>827</v>
      </c>
      <c r="K3" s="519" t="s">
        <v>828</v>
      </c>
      <c r="L3" s="519" t="s">
        <v>827</v>
      </c>
      <c r="M3" s="519" t="s">
        <v>827</v>
      </c>
      <c r="N3" s="519" t="s">
        <v>827</v>
      </c>
      <c r="O3" s="519" t="s">
        <v>829</v>
      </c>
      <c r="P3" s="499"/>
      <c r="Q3" s="499"/>
      <c r="R3" s="499"/>
      <c r="S3" s="499"/>
      <c r="T3" s="516" t="s">
        <v>828</v>
      </c>
      <c r="U3" s="674"/>
      <c r="V3" s="499"/>
      <c r="W3" s="499"/>
      <c r="X3" s="499"/>
      <c r="Y3" s="516" t="s">
        <v>828</v>
      </c>
      <c r="Z3" s="499"/>
      <c r="AA3" s="163" t="s">
        <v>828</v>
      </c>
    </row>
    <row r="4" spans="1:30" ht="13.5" thickBot="1" x14ac:dyDescent="0.25">
      <c r="B4" s="170"/>
      <c r="C4" s="675" t="s">
        <v>31</v>
      </c>
      <c r="D4" s="676" t="s">
        <v>828</v>
      </c>
      <c r="E4" s="676" t="s">
        <v>830</v>
      </c>
      <c r="F4" s="676" t="s">
        <v>830</v>
      </c>
      <c r="G4" s="676" t="s">
        <v>831</v>
      </c>
      <c r="H4" s="676" t="s">
        <v>828</v>
      </c>
      <c r="I4" s="676" t="s">
        <v>31</v>
      </c>
      <c r="J4" s="676" t="s">
        <v>828</v>
      </c>
      <c r="K4" s="676" t="s">
        <v>828</v>
      </c>
      <c r="L4" s="676" t="s">
        <v>31</v>
      </c>
      <c r="M4" s="596"/>
      <c r="N4" s="596"/>
      <c r="O4" s="676" t="s">
        <v>111</v>
      </c>
      <c r="P4" s="596"/>
      <c r="Q4" s="596"/>
      <c r="R4" s="596"/>
      <c r="S4" s="596"/>
      <c r="T4" s="505" t="s">
        <v>31</v>
      </c>
      <c r="U4" s="677"/>
      <c r="V4" s="596"/>
      <c r="W4" s="596"/>
      <c r="X4" s="596"/>
      <c r="Y4" s="505" t="s">
        <v>828</v>
      </c>
      <c r="Z4" s="596"/>
      <c r="AA4" s="678" t="s">
        <v>828</v>
      </c>
    </row>
    <row r="5" spans="1:30" x14ac:dyDescent="0.2">
      <c r="C5" s="652"/>
      <c r="E5" s="350"/>
      <c r="F5" s="350"/>
      <c r="G5" s="350"/>
    </row>
    <row r="6" spans="1:30" x14ac:dyDescent="0.2">
      <c r="D6" s="572"/>
      <c r="J6" s="18"/>
      <c r="V6" s="18"/>
      <c r="W6" s="18"/>
      <c r="X6" s="18"/>
      <c r="Y6" s="18"/>
      <c r="Z6" s="18"/>
      <c r="AA6" s="18"/>
    </row>
    <row r="7" spans="1:30" x14ac:dyDescent="0.2">
      <c r="D7" s="573" t="s">
        <v>594</v>
      </c>
      <c r="E7" s="542" t="s">
        <v>24</v>
      </c>
      <c r="F7" s="573" t="s">
        <v>767</v>
      </c>
      <c r="U7" s="535" t="s">
        <v>700</v>
      </c>
    </row>
    <row r="8" spans="1:30" x14ac:dyDescent="0.2">
      <c r="D8" s="573" t="s">
        <v>774</v>
      </c>
      <c r="E8" s="542" t="s">
        <v>18</v>
      </c>
      <c r="F8" s="573" t="s">
        <v>18</v>
      </c>
      <c r="G8" s="460" t="s">
        <v>21</v>
      </c>
      <c r="J8" s="460" t="s">
        <v>595</v>
      </c>
      <c r="K8" s="460" t="s">
        <v>700</v>
      </c>
      <c r="L8" s="460" t="s">
        <v>700</v>
      </c>
      <c r="M8" s="460" t="s">
        <v>700</v>
      </c>
      <c r="N8" s="460" t="s">
        <v>700</v>
      </c>
      <c r="U8" s="535" t="s">
        <v>736</v>
      </c>
      <c r="V8" s="544" t="s">
        <v>746</v>
      </c>
      <c r="W8" s="568" t="s">
        <v>768</v>
      </c>
      <c r="X8" s="568" t="s">
        <v>749</v>
      </c>
      <c r="Z8" t="s">
        <v>743</v>
      </c>
    </row>
    <row r="9" spans="1:30" s="490" customFormat="1" x14ac:dyDescent="0.2">
      <c r="A9" s="652"/>
      <c r="D9" s="574" t="str">
        <f>E7</f>
        <v>MCR</v>
      </c>
      <c r="E9" s="575" t="s">
        <v>594</v>
      </c>
      <c r="F9" s="574" t="s">
        <v>594</v>
      </c>
      <c r="G9" s="490" t="s">
        <v>597</v>
      </c>
      <c r="H9" s="490" t="s">
        <v>593</v>
      </c>
      <c r="I9" s="569" t="s">
        <v>593</v>
      </c>
      <c r="J9" s="490" t="s">
        <v>601</v>
      </c>
      <c r="K9" s="490" t="s">
        <v>598</v>
      </c>
      <c r="L9" s="571" t="s">
        <v>598</v>
      </c>
      <c r="M9" s="490" t="s">
        <v>599</v>
      </c>
      <c r="N9" s="460" t="s">
        <v>701</v>
      </c>
      <c r="O9" s="460" t="s">
        <v>602</v>
      </c>
      <c r="P9" s="460"/>
      <c r="Q9" s="542" t="s">
        <v>698</v>
      </c>
      <c r="R9" s="542"/>
      <c r="S9" s="542"/>
      <c r="T9" s="470" t="s">
        <v>740</v>
      </c>
      <c r="U9" s="527" t="s">
        <v>15</v>
      </c>
      <c r="V9" s="460" t="s">
        <v>641</v>
      </c>
      <c r="W9" s="460" t="s">
        <v>642</v>
      </c>
      <c r="X9" s="460" t="s">
        <v>772</v>
      </c>
      <c r="Y9" s="460" t="s">
        <v>635</v>
      </c>
      <c r="Z9" s="460" t="s">
        <v>744</v>
      </c>
      <c r="AA9" s="460" t="s">
        <v>640</v>
      </c>
      <c r="AB9" s="460" t="s">
        <v>738</v>
      </c>
      <c r="AC9" s="460" t="s">
        <v>667</v>
      </c>
      <c r="AD9" s="460" t="s">
        <v>739</v>
      </c>
    </row>
    <row r="10" spans="1:30" ht="51" x14ac:dyDescent="0.2">
      <c r="B10" s="18"/>
      <c r="D10" s="579" t="s">
        <v>795</v>
      </c>
      <c r="E10" s="15" t="s">
        <v>779</v>
      </c>
      <c r="F10" s="15" t="s">
        <v>779</v>
      </c>
      <c r="G10" s="15" t="s">
        <v>779</v>
      </c>
      <c r="H10" s="579" t="s">
        <v>795</v>
      </c>
      <c r="I10" s="15" t="s">
        <v>779</v>
      </c>
      <c r="K10" s="579" t="s">
        <v>795</v>
      </c>
      <c r="L10" s="15" t="s">
        <v>779</v>
      </c>
      <c r="M10" s="579" t="s">
        <v>795</v>
      </c>
      <c r="N10" s="579" t="s">
        <v>795</v>
      </c>
      <c r="O10" s="18"/>
      <c r="P10" s="18"/>
      <c r="Q10" s="18"/>
      <c r="R10" s="18"/>
      <c r="S10" s="18"/>
      <c r="T10" s="18"/>
      <c r="U10" s="527"/>
      <c r="V10" s="18"/>
      <c r="W10" s="18"/>
      <c r="X10" s="18"/>
      <c r="Y10" s="442" t="s">
        <v>826</v>
      </c>
      <c r="Z10" s="442" t="s">
        <v>825</v>
      </c>
      <c r="AA10" s="442" t="s">
        <v>825</v>
      </c>
      <c r="AB10" s="18"/>
      <c r="AC10" s="18"/>
    </row>
    <row r="11" spans="1:30" hidden="1" x14ac:dyDescent="0.2">
      <c r="B11" s="18" t="s">
        <v>704</v>
      </c>
      <c r="C11" s="490">
        <v>1924</v>
      </c>
      <c r="O11" s="18"/>
      <c r="P11" s="18"/>
      <c r="Q11" s="18"/>
      <c r="R11" s="18"/>
      <c r="S11" s="18"/>
      <c r="T11" s="18"/>
      <c r="U11" s="527">
        <f>'Benchmark Year Price'!F8</f>
        <v>12.849452851405106</v>
      </c>
      <c r="V11" s="549">
        <f t="shared" ref="V11:V42" si="0">Z11*$Y$59*(73/(73-(1972-C11)))</f>
        <v>4558626.5423667757</v>
      </c>
      <c r="W11" s="549">
        <f t="shared" ref="W11:W42" si="1">V11*(1-$G$116)^(2014-C11)</f>
        <v>414431.06653985661</v>
      </c>
      <c r="X11" s="549">
        <f t="shared" ref="X11:X42" si="2">C11+73</f>
        <v>1997</v>
      </c>
      <c r="Y11" s="18"/>
      <c r="Z11" s="548">
        <f>'Age Profile'!O17</f>
        <v>5.1698304790915965E-2</v>
      </c>
      <c r="AA11" s="18"/>
      <c r="AB11" s="18"/>
      <c r="AC11" s="18"/>
    </row>
    <row r="12" spans="1:30" hidden="1" x14ac:dyDescent="0.2">
      <c r="B12" s="18" t="s">
        <v>704</v>
      </c>
      <c r="C12" s="490">
        <v>1925</v>
      </c>
      <c r="O12" s="18"/>
      <c r="P12" s="18"/>
      <c r="Q12" s="18"/>
      <c r="R12" s="18"/>
      <c r="S12" s="18"/>
      <c r="T12" s="18"/>
      <c r="U12" s="527">
        <f>'Benchmark Year Price'!F9</f>
        <v>12.884675159933737</v>
      </c>
      <c r="V12" s="549">
        <f t="shared" si="0"/>
        <v>61418.62107979189</v>
      </c>
      <c r="W12" s="549">
        <f t="shared" si="1"/>
        <v>5734.4168313314967</v>
      </c>
      <c r="X12" s="549">
        <f t="shared" si="2"/>
        <v>1998</v>
      </c>
      <c r="Y12" s="18"/>
      <c r="Z12" s="548">
        <f>'Age Profile'!O18</f>
        <v>7.2439540844756501E-4</v>
      </c>
      <c r="AA12" s="18"/>
      <c r="AB12" s="18"/>
      <c r="AC12" s="18"/>
    </row>
    <row r="13" spans="1:30" hidden="1" x14ac:dyDescent="0.2">
      <c r="B13" s="18" t="s">
        <v>704</v>
      </c>
      <c r="C13" s="490">
        <v>1926</v>
      </c>
      <c r="O13" s="18"/>
      <c r="P13" s="18"/>
      <c r="Q13" s="18"/>
      <c r="R13" s="18"/>
      <c r="S13" s="18"/>
      <c r="T13" s="18"/>
      <c r="U13" s="527">
        <f>'Benchmark Year Price'!F10</f>
        <v>12.919994018177942</v>
      </c>
      <c r="V13" s="549">
        <f t="shared" si="0"/>
        <v>6824.2912310879874</v>
      </c>
      <c r="W13" s="549">
        <f t="shared" si="1"/>
        <v>654.36137577819659</v>
      </c>
      <c r="X13" s="549">
        <f t="shared" si="2"/>
        <v>1999</v>
      </c>
      <c r="Y13" s="18"/>
      <c r="Z13" s="548">
        <f>'Age Profile'!O19</f>
        <v>8.3584085590103653E-5</v>
      </c>
      <c r="AA13" s="18"/>
      <c r="AB13" s="18"/>
      <c r="AC13" s="18"/>
    </row>
    <row r="14" spans="1:30" hidden="1" x14ac:dyDescent="0.2">
      <c r="B14" s="18" t="s">
        <v>704</v>
      </c>
      <c r="C14" s="490">
        <v>1927</v>
      </c>
      <c r="O14" s="18"/>
      <c r="P14" s="18"/>
      <c r="Q14" s="18"/>
      <c r="R14" s="18"/>
      <c r="S14" s="18"/>
      <c r="T14" s="18"/>
      <c r="U14" s="527">
        <f>'Benchmark Year Price'!F11</f>
        <v>12.955409690795205</v>
      </c>
      <c r="V14" s="549">
        <f t="shared" si="0"/>
        <v>0</v>
      </c>
      <c r="W14" s="549">
        <f t="shared" si="1"/>
        <v>0</v>
      </c>
      <c r="X14" s="549">
        <f t="shared" si="2"/>
        <v>2000</v>
      </c>
      <c r="Y14" s="18"/>
      <c r="Z14" s="548">
        <f>'Age Profile'!O20</f>
        <v>0</v>
      </c>
      <c r="AA14" s="18"/>
      <c r="AB14" s="18"/>
      <c r="AC14" s="18"/>
    </row>
    <row r="15" spans="1:30" hidden="1" x14ac:dyDescent="0.2">
      <c r="B15" s="18" t="s">
        <v>704</v>
      </c>
      <c r="C15" s="490">
        <v>1928</v>
      </c>
      <c r="O15" s="18"/>
      <c r="P15" s="18"/>
      <c r="Q15" s="18"/>
      <c r="R15" s="18"/>
      <c r="S15" s="18"/>
      <c r="T15" s="18"/>
      <c r="U15" s="527">
        <f>'Benchmark Year Price'!F12</f>
        <v>13.80285509586651</v>
      </c>
      <c r="V15" s="549">
        <f t="shared" si="0"/>
        <v>13648.582462175973</v>
      </c>
      <c r="W15" s="549">
        <f t="shared" si="1"/>
        <v>1380.350790503275</v>
      </c>
      <c r="X15" s="549">
        <f t="shared" si="2"/>
        <v>2001</v>
      </c>
      <c r="Y15" s="18"/>
      <c r="Z15" s="548">
        <f>'Age Profile'!O21</f>
        <v>1.7955099867503747E-4</v>
      </c>
      <c r="AA15" s="18"/>
      <c r="AB15" s="18"/>
      <c r="AC15" s="18"/>
    </row>
    <row r="16" spans="1:30" hidden="1" x14ac:dyDescent="0.2">
      <c r="B16" s="18" t="s">
        <v>704</v>
      </c>
      <c r="C16" s="490">
        <v>1929</v>
      </c>
      <c r="O16" s="18"/>
      <c r="P16" s="18"/>
      <c r="Q16" s="18"/>
      <c r="R16" s="18"/>
      <c r="S16" s="18"/>
      <c r="T16" s="18"/>
      <c r="U16" s="527">
        <f>'Benchmark Year Price'!F13</f>
        <v>13.840690825246181</v>
      </c>
      <c r="V16" s="549">
        <f t="shared" si="0"/>
        <v>27297.164924351946</v>
      </c>
      <c r="W16" s="549">
        <f t="shared" si="1"/>
        <v>2835.2435548654171</v>
      </c>
      <c r="X16" s="549">
        <f t="shared" si="2"/>
        <v>2002</v>
      </c>
      <c r="Y16" s="18"/>
      <c r="Z16" s="548">
        <f>'Age Profile'!O22</f>
        <v>3.714848248449051E-4</v>
      </c>
      <c r="AA16" s="18"/>
      <c r="AB16" s="18"/>
      <c r="AC16" s="18"/>
    </row>
    <row r="17" spans="2:29" hidden="1" x14ac:dyDescent="0.2">
      <c r="B17" s="18" t="s">
        <v>704</v>
      </c>
      <c r="C17" s="490">
        <v>1930</v>
      </c>
      <c r="O17" s="18"/>
      <c r="P17" s="18"/>
      <c r="Q17" s="18"/>
      <c r="R17" s="18"/>
      <c r="S17" s="18"/>
      <c r="T17" s="18"/>
      <c r="U17" s="527">
        <f>'Benchmark Year Price'!F14</f>
        <v>13.878630268126265</v>
      </c>
      <c r="V17" s="549">
        <f t="shared" si="0"/>
        <v>470876.09494507115</v>
      </c>
      <c r="W17" s="549">
        <f t="shared" si="1"/>
        <v>50228.519706644307</v>
      </c>
      <c r="X17" s="549">
        <f t="shared" si="2"/>
        <v>2003</v>
      </c>
      <c r="Y17" s="18"/>
      <c r="Z17" s="548">
        <f>'Age Profile'!O23</f>
        <v>6.6217170028604333E-3</v>
      </c>
      <c r="AA17" s="18"/>
      <c r="AB17" s="18"/>
      <c r="AC17" s="18"/>
    </row>
    <row r="18" spans="2:29" hidden="1" x14ac:dyDescent="0.2">
      <c r="B18" s="18" t="s">
        <v>704</v>
      </c>
      <c r="C18" s="490">
        <v>1931</v>
      </c>
      <c r="O18" s="18"/>
      <c r="P18" s="18"/>
      <c r="Q18" s="18"/>
      <c r="R18" s="18"/>
      <c r="S18" s="18"/>
      <c r="T18" s="18"/>
      <c r="U18" s="527">
        <f>'Benchmark Year Price'!F15</f>
        <v>13.098045843577669</v>
      </c>
      <c r="V18" s="549">
        <f t="shared" si="0"/>
        <v>655131.95818444679</v>
      </c>
      <c r="W18" s="549">
        <f t="shared" si="1"/>
        <v>71770.079844462554</v>
      </c>
      <c r="X18" s="549">
        <f t="shared" si="2"/>
        <v>2004</v>
      </c>
      <c r="Y18" s="18"/>
      <c r="Z18" s="548">
        <f>'Age Profile'!O24</f>
        <v>9.5100115160295703E-3</v>
      </c>
      <c r="AA18" s="18"/>
      <c r="AB18" s="18"/>
      <c r="AC18" s="18"/>
    </row>
    <row r="19" spans="2:29" hidden="1" x14ac:dyDescent="0.2">
      <c r="B19" s="18" t="s">
        <v>704</v>
      </c>
      <c r="C19" s="490">
        <v>1932</v>
      </c>
      <c r="O19" s="18"/>
      <c r="P19" s="18"/>
      <c r="Q19" s="18"/>
      <c r="R19" s="18"/>
      <c r="S19" s="18"/>
      <c r="T19" s="18"/>
      <c r="U19" s="527">
        <f>'Benchmark Year Price'!F16</f>
        <v>11.492205885460596</v>
      </c>
      <c r="V19" s="549">
        <f t="shared" si="0"/>
        <v>0</v>
      </c>
      <c r="W19" s="549">
        <f t="shared" si="1"/>
        <v>0</v>
      </c>
      <c r="X19" s="549">
        <f t="shared" si="2"/>
        <v>2005</v>
      </c>
      <c r="Y19" s="18"/>
      <c r="Z19" s="548">
        <f>'Age Profile'!O25</f>
        <v>0</v>
      </c>
      <c r="AA19" s="18"/>
      <c r="AB19" s="18"/>
      <c r="AC19" s="18"/>
    </row>
    <row r="20" spans="2:29" hidden="1" x14ac:dyDescent="0.2">
      <c r="B20" s="18" t="s">
        <v>704</v>
      </c>
      <c r="C20" s="490">
        <v>1933</v>
      </c>
      <c r="O20" s="18"/>
      <c r="P20" s="18"/>
      <c r="Q20" s="18"/>
      <c r="R20" s="18"/>
      <c r="S20" s="18"/>
      <c r="T20" s="18"/>
      <c r="U20" s="527">
        <f>'Benchmark Year Price'!F17</f>
        <v>12.346829757011214</v>
      </c>
      <c r="V20" s="549">
        <f t="shared" si="0"/>
        <v>2381677.6396497078</v>
      </c>
      <c r="W20" s="549">
        <f t="shared" si="1"/>
        <v>275194.3030679457</v>
      </c>
      <c r="X20" s="549">
        <f t="shared" si="2"/>
        <v>2006</v>
      </c>
      <c r="Y20" s="18"/>
      <c r="Z20" s="548">
        <f>'Age Profile'!O26</f>
        <v>3.6733657763413703E-2</v>
      </c>
      <c r="AA20" s="18"/>
      <c r="AB20" s="18"/>
      <c r="AC20" s="18"/>
    </row>
    <row r="21" spans="2:29" hidden="1" x14ac:dyDescent="0.2">
      <c r="B21" s="18" t="s">
        <v>704</v>
      </c>
      <c r="C21" s="490">
        <v>1934</v>
      </c>
      <c r="O21" s="18"/>
      <c r="P21" s="18"/>
      <c r="Q21" s="18"/>
      <c r="R21" s="18"/>
      <c r="S21" s="18"/>
      <c r="T21" s="18"/>
      <c r="U21" s="527">
        <f>'Benchmark Year Price'!F18</f>
        <v>13.206052585640645</v>
      </c>
      <c r="V21" s="549">
        <f t="shared" si="0"/>
        <v>0</v>
      </c>
      <c r="W21" s="549">
        <f t="shared" si="1"/>
        <v>0</v>
      </c>
      <c r="X21" s="549">
        <f t="shared" si="2"/>
        <v>2007</v>
      </c>
      <c r="Y21" s="18"/>
      <c r="Z21" s="548">
        <f>'Age Profile'!O27</f>
        <v>0</v>
      </c>
      <c r="AA21" s="18"/>
      <c r="AB21" s="18"/>
      <c r="AC21" s="18"/>
    </row>
    <row r="22" spans="2:29" hidden="1" x14ac:dyDescent="0.2">
      <c r="B22" s="18" t="s">
        <v>704</v>
      </c>
      <c r="C22" s="490">
        <v>1935</v>
      </c>
      <c r="O22" s="18"/>
      <c r="P22" s="18"/>
      <c r="Q22" s="18"/>
      <c r="R22" s="18"/>
      <c r="S22" s="18"/>
      <c r="T22" s="18"/>
      <c r="U22" s="527">
        <f>'Benchmark Year Price'!F19</f>
        <v>13.24225238838679</v>
      </c>
      <c r="V22" s="549">
        <f t="shared" si="0"/>
        <v>0</v>
      </c>
      <c r="W22" s="549">
        <f t="shared" si="1"/>
        <v>0</v>
      </c>
      <c r="X22" s="549">
        <f t="shared" si="2"/>
        <v>2008</v>
      </c>
      <c r="Y22" s="18"/>
      <c r="Z22" s="548">
        <f>'Age Profile'!O28</f>
        <v>0</v>
      </c>
      <c r="AA22" s="18"/>
      <c r="AB22" s="18"/>
      <c r="AC22" s="18"/>
    </row>
    <row r="23" spans="2:29" hidden="1" x14ac:dyDescent="0.2">
      <c r="B23" s="18" t="s">
        <v>704</v>
      </c>
      <c r="C23" s="490">
        <v>1936</v>
      </c>
      <c r="O23" s="18"/>
      <c r="P23" s="18"/>
      <c r="Q23" s="18"/>
      <c r="R23" s="18"/>
      <c r="S23" s="18"/>
      <c r="T23" s="18"/>
      <c r="U23" s="527">
        <f>'Benchmark Year Price'!F20</f>
        <v>14.108460884078452</v>
      </c>
      <c r="V23" s="549">
        <f t="shared" si="0"/>
        <v>0</v>
      </c>
      <c r="W23" s="549">
        <f t="shared" si="1"/>
        <v>0</v>
      </c>
      <c r="X23" s="549">
        <f t="shared" si="2"/>
        <v>2009</v>
      </c>
      <c r="Y23" s="18"/>
      <c r="Z23" s="548">
        <f>'Age Profile'!O29</f>
        <v>0</v>
      </c>
      <c r="AA23" s="18"/>
      <c r="AB23" s="18"/>
      <c r="AC23" s="18"/>
    </row>
    <row r="24" spans="2:29" hidden="1" x14ac:dyDescent="0.2">
      <c r="B24" s="18" t="s">
        <v>704</v>
      </c>
      <c r="C24" s="490">
        <v>1937</v>
      </c>
      <c r="O24" s="18"/>
      <c r="P24" s="18"/>
      <c r="Q24" s="18"/>
      <c r="R24" s="18"/>
      <c r="S24" s="18"/>
      <c r="T24" s="18"/>
      <c r="U24" s="527">
        <f>'Benchmark Year Price'!F21</f>
        <v>14.979318697586205</v>
      </c>
      <c r="V24" s="549">
        <f t="shared" si="0"/>
        <v>0</v>
      </c>
      <c r="W24" s="549">
        <f t="shared" si="1"/>
        <v>0</v>
      </c>
      <c r="X24" s="549">
        <f t="shared" si="2"/>
        <v>2010</v>
      </c>
      <c r="Y24" s="18"/>
      <c r="Z24" s="548">
        <f>'Age Profile'!O30</f>
        <v>0</v>
      </c>
      <c r="AA24" s="18"/>
      <c r="AB24" s="18"/>
      <c r="AC24" s="18"/>
    </row>
    <row r="25" spans="2:29" hidden="1" x14ac:dyDescent="0.2">
      <c r="B25" s="18" t="s">
        <v>704</v>
      </c>
      <c r="C25" s="490">
        <v>1938</v>
      </c>
      <c r="O25" s="18"/>
      <c r="P25" s="18"/>
      <c r="Q25" s="18"/>
      <c r="R25" s="18"/>
      <c r="S25" s="18"/>
      <c r="T25" s="18"/>
      <c r="U25" s="527">
        <f>'Benchmark Year Price'!F22</f>
        <v>15.020379292991819</v>
      </c>
      <c r="V25" s="549">
        <f t="shared" si="0"/>
        <v>54594.329848703899</v>
      </c>
      <c r="W25" s="549">
        <f t="shared" si="1"/>
        <v>7207.0666547978171</v>
      </c>
      <c r="X25" s="549">
        <f t="shared" si="2"/>
        <v>2011</v>
      </c>
      <c r="Y25" s="18"/>
      <c r="Z25" s="548">
        <f>'Age Profile'!O31</f>
        <v>9.6586054459675335E-4</v>
      </c>
      <c r="AA25" s="18"/>
      <c r="AB25" s="18"/>
      <c r="AC25" s="18"/>
    </row>
    <row r="26" spans="2:29" hidden="1" x14ac:dyDescent="0.2">
      <c r="B26" s="18" t="s">
        <v>704</v>
      </c>
      <c r="C26" s="490">
        <v>1939</v>
      </c>
      <c r="O26" s="18"/>
      <c r="P26" s="18"/>
      <c r="Q26" s="18"/>
      <c r="R26" s="18"/>
      <c r="S26" s="18"/>
      <c r="T26" s="18"/>
      <c r="U26" s="527">
        <f>'Benchmark Year Price'!F23</f>
        <v>15.061552441747097</v>
      </c>
      <c r="V26" s="549">
        <f t="shared" si="0"/>
        <v>0</v>
      </c>
      <c r="W26" s="549">
        <f t="shared" si="1"/>
        <v>0</v>
      </c>
      <c r="X26" s="549">
        <f t="shared" si="2"/>
        <v>2012</v>
      </c>
      <c r="Y26" s="18"/>
      <c r="Z26" s="548">
        <f>'Age Profile'!O32</f>
        <v>0</v>
      </c>
      <c r="AA26" s="18"/>
      <c r="AB26" s="18"/>
      <c r="AC26" s="18"/>
    </row>
    <row r="27" spans="2:29" hidden="1" x14ac:dyDescent="0.2">
      <c r="B27" s="18" t="s">
        <v>704</v>
      </c>
      <c r="C27" s="490">
        <v>1940</v>
      </c>
      <c r="O27" s="18"/>
      <c r="P27" s="18"/>
      <c r="Q27" s="18"/>
      <c r="R27" s="18"/>
      <c r="S27" s="18"/>
      <c r="T27" s="18"/>
      <c r="U27" s="527">
        <f>'Benchmark Year Price'!F24</f>
        <v>15.941885033065583</v>
      </c>
      <c r="V27" s="549">
        <f t="shared" si="0"/>
        <v>0</v>
      </c>
      <c r="W27" s="549">
        <f t="shared" si="1"/>
        <v>0</v>
      </c>
      <c r="X27" s="549">
        <f t="shared" si="2"/>
        <v>2013</v>
      </c>
      <c r="Y27" s="18"/>
      <c r="Z27" s="548">
        <f>'Age Profile'!O33</f>
        <v>0</v>
      </c>
      <c r="AA27" s="18"/>
      <c r="AB27" s="18"/>
      <c r="AC27" s="18"/>
    </row>
    <row r="28" spans="2:29" hidden="1" x14ac:dyDescent="0.2">
      <c r="B28" s="18" t="s">
        <v>704</v>
      </c>
      <c r="C28" s="490">
        <v>1941</v>
      </c>
      <c r="O28" s="18"/>
      <c r="P28" s="18"/>
      <c r="Q28" s="18"/>
      <c r="R28" s="18"/>
      <c r="S28" s="18"/>
      <c r="T28" s="18"/>
      <c r="U28" s="527">
        <f>'Benchmark Year Price'!F25</f>
        <v>16.826930704728767</v>
      </c>
      <c r="V28" s="549">
        <f t="shared" si="0"/>
        <v>54594.329848703899</v>
      </c>
      <c r="W28" s="549">
        <f t="shared" si="1"/>
        <v>7806.7678040288438</v>
      </c>
      <c r="X28" s="549">
        <f t="shared" si="2"/>
        <v>2014</v>
      </c>
      <c r="Y28" s="18"/>
      <c r="Z28" s="548">
        <f>'Age Profile'!O34</f>
        <v>1.0401575095657343E-3</v>
      </c>
      <c r="AA28" s="18"/>
      <c r="AB28" s="18"/>
      <c r="AC28" s="18"/>
    </row>
    <row r="29" spans="2:29" hidden="1" x14ac:dyDescent="0.2">
      <c r="B29" s="18" t="s">
        <v>704</v>
      </c>
      <c r="C29" s="490">
        <v>1942</v>
      </c>
      <c r="O29" s="18"/>
      <c r="P29" s="18"/>
      <c r="Q29" s="18"/>
      <c r="R29" s="18"/>
      <c r="S29" s="18"/>
      <c r="T29" s="18"/>
      <c r="U29" s="527">
        <f>'Benchmark Year Price'!F26</f>
        <v>17.716708680534087</v>
      </c>
      <c r="V29" s="576">
        <f t="shared" si="0"/>
        <v>1201075.2566714857</v>
      </c>
      <c r="W29" s="576">
        <f t="shared" si="1"/>
        <v>176386.30033961806</v>
      </c>
      <c r="X29" s="576">
        <f t="shared" si="2"/>
        <v>2015</v>
      </c>
      <c r="Y29" s="18"/>
      <c r="Z29" s="548">
        <f>'Age Profile'!O35</f>
        <v>2.3428309620218683E-2</v>
      </c>
      <c r="AA29" s="18"/>
      <c r="AB29" s="18"/>
      <c r="AC29" s="18"/>
    </row>
    <row r="30" spans="2:29" hidden="1" x14ac:dyDescent="0.2">
      <c r="B30" s="18" t="s">
        <v>704</v>
      </c>
      <c r="C30" s="490">
        <v>1943</v>
      </c>
      <c r="O30" s="18"/>
      <c r="P30" s="18"/>
      <c r="Q30" s="18"/>
      <c r="R30" s="18"/>
      <c r="S30" s="18"/>
      <c r="T30" s="18"/>
      <c r="U30" s="527">
        <f>'Benchmark Year Price'!F27</f>
        <v>17.76527287906254</v>
      </c>
      <c r="V30" s="576">
        <f t="shared" si="0"/>
        <v>0</v>
      </c>
      <c r="W30" s="576">
        <f t="shared" si="1"/>
        <v>0</v>
      </c>
      <c r="X30" s="576">
        <f t="shared" si="2"/>
        <v>2016</v>
      </c>
      <c r="Y30" s="18"/>
      <c r="Z30" s="548">
        <f>'Age Profile'!O36</f>
        <v>0</v>
      </c>
      <c r="AA30" s="18"/>
      <c r="AB30" s="18"/>
      <c r="AC30" s="18"/>
    </row>
    <row r="31" spans="2:29" hidden="1" x14ac:dyDescent="0.2">
      <c r="B31" s="18" t="s">
        <v>704</v>
      </c>
      <c r="C31" s="490">
        <v>1944</v>
      </c>
      <c r="O31" s="18"/>
      <c r="P31" s="18"/>
      <c r="Q31" s="18"/>
      <c r="R31" s="18"/>
      <c r="S31" s="18"/>
      <c r="T31" s="18"/>
      <c r="U31" s="527">
        <f>'Benchmark Year Price'!F28</f>
        <v>17.813970199460368</v>
      </c>
      <c r="V31" s="576">
        <f t="shared" si="0"/>
        <v>0</v>
      </c>
      <c r="W31" s="576">
        <f t="shared" si="1"/>
        <v>0</v>
      </c>
      <c r="X31" s="576">
        <f t="shared" si="2"/>
        <v>2017</v>
      </c>
      <c r="Y31" s="18"/>
      <c r="Z31" s="548">
        <f>'Age Profile'!O37</f>
        <v>0</v>
      </c>
      <c r="AA31" s="18"/>
      <c r="AB31" s="18"/>
      <c r="AC31" s="18"/>
    </row>
    <row r="32" spans="2:29" hidden="1" x14ac:dyDescent="0.2">
      <c r="B32" s="18" t="s">
        <v>704</v>
      </c>
      <c r="C32" s="490">
        <v>1945</v>
      </c>
      <c r="O32" s="18"/>
      <c r="P32" s="18"/>
      <c r="Q32" s="18"/>
      <c r="R32" s="18"/>
      <c r="S32" s="18"/>
      <c r="T32" s="18"/>
      <c r="U32" s="527">
        <f>'Benchmark Year Price'!F29</f>
        <v>18.713410578379424</v>
      </c>
      <c r="V32" s="576">
        <f t="shared" si="0"/>
        <v>0</v>
      </c>
      <c r="W32" s="576">
        <f t="shared" si="1"/>
        <v>0</v>
      </c>
      <c r="X32" s="576">
        <f t="shared" si="2"/>
        <v>2018</v>
      </c>
      <c r="Y32" s="18"/>
      <c r="Z32" s="548">
        <f>'Age Profile'!O38</f>
        <v>0</v>
      </c>
      <c r="AA32" s="18"/>
      <c r="AB32" s="18"/>
      <c r="AC32" s="18"/>
    </row>
    <row r="33" spans="2:29" hidden="1" x14ac:dyDescent="0.2">
      <c r="B33" s="18" t="s">
        <v>704</v>
      </c>
      <c r="C33" s="490">
        <v>1946</v>
      </c>
      <c r="O33" s="18"/>
      <c r="P33" s="18"/>
      <c r="Q33" s="18"/>
      <c r="R33" s="18"/>
      <c r="S33" s="18"/>
      <c r="T33" s="18"/>
      <c r="U33" s="527">
        <f>'Benchmark Year Price'!F30</f>
        <v>21.323530555349695</v>
      </c>
      <c r="V33" s="576">
        <f t="shared" si="0"/>
        <v>1242021.0040580137</v>
      </c>
      <c r="W33" s="576">
        <f t="shared" si="1"/>
        <v>202911.75301770211</v>
      </c>
      <c r="X33" s="576">
        <f t="shared" si="2"/>
        <v>2019</v>
      </c>
      <c r="Y33" s="18"/>
      <c r="Z33" s="548">
        <f>'Age Profile'!O39</f>
        <v>2.6480676597694319E-2</v>
      </c>
      <c r="AA33" s="18"/>
      <c r="AB33" s="18"/>
      <c r="AC33" s="18"/>
    </row>
    <row r="34" spans="2:29" hidden="1" x14ac:dyDescent="0.2">
      <c r="B34" s="18" t="s">
        <v>704</v>
      </c>
      <c r="C34" s="490">
        <v>1947</v>
      </c>
      <c r="O34" s="18"/>
      <c r="P34" s="18"/>
      <c r="Q34" s="18"/>
      <c r="R34" s="18"/>
      <c r="S34" s="18"/>
      <c r="T34" s="18"/>
      <c r="U34" s="527">
        <f>'Benchmark Year Price'!F31</f>
        <v>24.803098658689393</v>
      </c>
      <c r="V34" s="576">
        <f t="shared" si="0"/>
        <v>0</v>
      </c>
      <c r="W34" s="576">
        <f t="shared" si="1"/>
        <v>0</v>
      </c>
      <c r="X34" s="576">
        <f t="shared" si="2"/>
        <v>2020</v>
      </c>
      <c r="Y34" s="18"/>
      <c r="Z34" s="548">
        <f>'Age Profile'!O40</f>
        <v>0</v>
      </c>
      <c r="AA34" s="18"/>
      <c r="AB34" s="18"/>
      <c r="AC34" s="18"/>
    </row>
    <row r="35" spans="2:29" hidden="1" x14ac:dyDescent="0.2">
      <c r="B35" s="18" t="s">
        <v>704</v>
      </c>
      <c r="C35" s="490">
        <v>1948</v>
      </c>
      <c r="O35" s="18"/>
      <c r="P35" s="18"/>
      <c r="Q35" s="18"/>
      <c r="R35" s="18"/>
      <c r="S35" s="18"/>
      <c r="T35" s="18"/>
      <c r="U35" s="527">
        <f>'Benchmark Year Price'!F32</f>
        <v>28.301582591719672</v>
      </c>
      <c r="V35" s="576">
        <f t="shared" si="0"/>
        <v>1303439.6251378057</v>
      </c>
      <c r="W35" s="576">
        <f t="shared" si="1"/>
        <v>224600.64439992569</v>
      </c>
      <c r="X35" s="576">
        <f t="shared" si="2"/>
        <v>2021</v>
      </c>
      <c r="Y35" s="18"/>
      <c r="Z35" s="548">
        <f>'Age Profile'!O41</f>
        <v>2.8972720631028893E-2</v>
      </c>
      <c r="AA35" s="18"/>
      <c r="AB35" s="18"/>
      <c r="AC35" s="18"/>
    </row>
    <row r="36" spans="2:29" hidden="1" x14ac:dyDescent="0.2">
      <c r="B36" s="18" t="s">
        <v>704</v>
      </c>
      <c r="C36" s="490">
        <v>1949</v>
      </c>
      <c r="O36" s="18"/>
      <c r="P36" s="18"/>
      <c r="Q36" s="18"/>
      <c r="R36" s="18"/>
      <c r="S36" s="18"/>
      <c r="T36" s="18"/>
      <c r="U36" s="527">
        <f>'Benchmark Year Price'!F33</f>
        <v>29.239136134984086</v>
      </c>
      <c r="V36" s="576">
        <f t="shared" si="0"/>
        <v>0</v>
      </c>
      <c r="W36" s="576">
        <f t="shared" si="1"/>
        <v>0</v>
      </c>
      <c r="X36" s="576">
        <f t="shared" si="2"/>
        <v>2022</v>
      </c>
      <c r="Y36" s="18"/>
      <c r="Z36" s="548">
        <f>'Age Profile'!O42</f>
        <v>0</v>
      </c>
      <c r="AA36" s="18"/>
      <c r="AB36" s="18"/>
      <c r="AC36" s="18"/>
    </row>
    <row r="37" spans="2:29" hidden="1" x14ac:dyDescent="0.2">
      <c r="B37" s="18" t="s">
        <v>704</v>
      </c>
      <c r="C37" s="490">
        <v>1950</v>
      </c>
      <c r="O37" s="18"/>
      <c r="P37" s="18"/>
      <c r="Q37" s="18"/>
      <c r="R37" s="18"/>
      <c r="S37" s="18"/>
      <c r="T37" s="18"/>
      <c r="U37" s="527">
        <f>'Benchmark Year Price'!F34</f>
        <v>30.181616976811991</v>
      </c>
      <c r="V37" s="576">
        <f t="shared" si="0"/>
        <v>4899841.1039211759</v>
      </c>
      <c r="W37" s="576">
        <f t="shared" si="1"/>
        <v>890520.43700951978</v>
      </c>
      <c r="X37" s="576">
        <f t="shared" si="2"/>
        <v>2023</v>
      </c>
      <c r="Y37" s="18"/>
      <c r="Z37" s="548">
        <f>'Age Profile'!O43</f>
        <v>0.11335859430142281</v>
      </c>
      <c r="AA37" s="18"/>
      <c r="AB37" s="18"/>
      <c r="AC37" s="18"/>
    </row>
    <row r="38" spans="2:29" hidden="1" x14ac:dyDescent="0.2">
      <c r="B38" s="18" t="s">
        <v>704</v>
      </c>
      <c r="C38" s="490">
        <v>1951</v>
      </c>
      <c r="O38" s="18"/>
      <c r="P38" s="18"/>
      <c r="Q38" s="18"/>
      <c r="R38" s="18"/>
      <c r="S38" s="18"/>
      <c r="T38" s="18"/>
      <c r="U38" s="527">
        <f>'Benchmark Year Price'!F35</f>
        <v>32.858436479093434</v>
      </c>
      <c r="V38" s="576">
        <f t="shared" si="0"/>
        <v>0</v>
      </c>
      <c r="W38" s="576">
        <f t="shared" si="1"/>
        <v>0</v>
      </c>
      <c r="X38" s="576">
        <f t="shared" si="2"/>
        <v>2024</v>
      </c>
      <c r="Y38" s="18"/>
      <c r="Z38" s="548">
        <f>'Age Profile'!O44</f>
        <v>0</v>
      </c>
      <c r="AA38" s="18"/>
      <c r="AB38" s="18"/>
      <c r="AC38" s="18"/>
    </row>
    <row r="39" spans="2:29" hidden="1" x14ac:dyDescent="0.2">
      <c r="B39" s="18" t="s">
        <v>704</v>
      </c>
      <c r="C39" s="490">
        <v>1952</v>
      </c>
      <c r="O39" s="18"/>
      <c r="P39" s="18"/>
      <c r="Q39" s="18"/>
      <c r="R39" s="18"/>
      <c r="S39" s="18"/>
      <c r="T39" s="18"/>
      <c r="U39" s="527">
        <f>'Benchmark Year Price'!F36</f>
        <v>34.682638380131046</v>
      </c>
      <c r="V39" s="576">
        <f t="shared" si="0"/>
        <v>1658302.7691543808</v>
      </c>
      <c r="W39" s="576">
        <f t="shared" si="1"/>
        <v>317883.1704964136</v>
      </c>
      <c r="X39" s="576">
        <f t="shared" si="2"/>
        <v>2025</v>
      </c>
      <c r="Y39" s="18"/>
      <c r="Z39" s="548">
        <f>'Age Profile'!O45</f>
        <v>3.9869608826479441E-2</v>
      </c>
      <c r="AA39" s="18"/>
      <c r="AB39" s="18"/>
      <c r="AC39" s="18"/>
    </row>
    <row r="40" spans="2:29" hidden="1" x14ac:dyDescent="0.2">
      <c r="B40" s="18" t="s">
        <v>704</v>
      </c>
      <c r="C40" s="490">
        <v>1953</v>
      </c>
      <c r="O40" s="18"/>
      <c r="P40" s="18"/>
      <c r="Q40" s="18"/>
      <c r="R40" s="18"/>
      <c r="S40" s="18"/>
      <c r="T40" s="18"/>
      <c r="U40" s="527">
        <f>'Benchmark Year Price'!F37</f>
        <v>37.386036935900769</v>
      </c>
      <c r="V40" s="576">
        <f t="shared" si="0"/>
        <v>0</v>
      </c>
      <c r="W40" s="576">
        <f t="shared" si="1"/>
        <v>0</v>
      </c>
      <c r="X40" s="576">
        <f t="shared" si="2"/>
        <v>2026</v>
      </c>
      <c r="Y40" s="18"/>
      <c r="Z40" s="548">
        <f>'Age Profile'!O46</f>
        <v>0</v>
      </c>
      <c r="AA40" s="18"/>
      <c r="AB40" s="18"/>
      <c r="AC40" s="18"/>
    </row>
    <row r="41" spans="2:29" hidden="1" x14ac:dyDescent="0.2">
      <c r="B41" s="18" t="s">
        <v>704</v>
      </c>
      <c r="C41" s="490">
        <v>1954</v>
      </c>
      <c r="O41" s="18"/>
      <c r="P41" s="18"/>
      <c r="Q41" s="18"/>
      <c r="R41" s="18"/>
      <c r="S41" s="18"/>
      <c r="T41" s="18"/>
      <c r="U41" s="527">
        <f>'Benchmark Year Price'!F38</f>
        <v>38.360343755229508</v>
      </c>
      <c r="V41" s="576">
        <f t="shared" si="0"/>
        <v>10229612.555400895</v>
      </c>
      <c r="W41" s="576">
        <f t="shared" si="1"/>
        <v>2068257.991103142</v>
      </c>
      <c r="X41" s="576">
        <f t="shared" si="2"/>
        <v>2027</v>
      </c>
      <c r="Y41" s="18"/>
      <c r="Z41" s="548">
        <f>'Age Profile'!O47</f>
        <v>0.25522555320281837</v>
      </c>
      <c r="AA41" s="18"/>
      <c r="AB41" s="18"/>
      <c r="AC41" s="18"/>
    </row>
    <row r="42" spans="2:29" hidden="1" x14ac:dyDescent="0.2">
      <c r="B42" s="18" t="s">
        <v>704</v>
      </c>
      <c r="C42" s="490">
        <v>1955</v>
      </c>
      <c r="O42" s="18"/>
      <c r="P42" s="18"/>
      <c r="Q42" s="18"/>
      <c r="R42" s="18"/>
      <c r="S42" s="18"/>
      <c r="T42" s="18"/>
      <c r="U42" s="527">
        <f>'Benchmark Year Price'!F39</f>
        <v>40.213926908306824</v>
      </c>
      <c r="V42" s="576">
        <f t="shared" si="0"/>
        <v>0</v>
      </c>
      <c r="W42" s="576">
        <f t="shared" si="1"/>
        <v>0</v>
      </c>
      <c r="X42" s="576">
        <f t="shared" si="2"/>
        <v>2028</v>
      </c>
      <c r="Y42" s="18"/>
      <c r="Z42" s="548">
        <f>'Age Profile'!O48</f>
        <v>0</v>
      </c>
      <c r="AA42" s="18"/>
      <c r="AB42" s="18"/>
      <c r="AC42" s="18"/>
    </row>
    <row r="43" spans="2:29" hidden="1" x14ac:dyDescent="0.2">
      <c r="B43" s="18" t="s">
        <v>704</v>
      </c>
      <c r="C43" s="490">
        <v>1956</v>
      </c>
      <c r="O43" s="18"/>
      <c r="P43" s="18"/>
      <c r="Q43" s="18"/>
      <c r="R43" s="18"/>
      <c r="S43" s="18"/>
      <c r="T43" s="18"/>
      <c r="U43" s="527">
        <f>'Benchmark Year Price'!F40</f>
        <v>43.830608054983387</v>
      </c>
      <c r="V43" s="576">
        <f t="shared" ref="V43:V59" si="3">Z43*$Y$59*(73/(73-(1972-C43)))</f>
        <v>498173.25986942305</v>
      </c>
      <c r="W43" s="576">
        <f t="shared" ref="W43:W74" si="4">V43*(1-$G$116)^(2014-C43)</f>
        <v>106235.03224729432</v>
      </c>
      <c r="X43" s="576">
        <f t="shared" ref="X43:X74" si="5">C43+73</f>
        <v>2029</v>
      </c>
      <c r="Y43" s="18"/>
      <c r="Z43" s="548">
        <f>'Age Profile'!O49</f>
        <v>1.2881236301497085E-2</v>
      </c>
      <c r="AA43" s="18"/>
      <c r="AB43" s="18"/>
      <c r="AC43" s="18"/>
    </row>
    <row r="44" spans="2:29" hidden="1" x14ac:dyDescent="0.2">
      <c r="B44" s="18" t="s">
        <v>704</v>
      </c>
      <c r="C44" s="490">
        <v>1957</v>
      </c>
      <c r="O44" s="18"/>
      <c r="P44" s="18"/>
      <c r="Q44" s="18"/>
      <c r="R44" s="18"/>
      <c r="S44" s="18"/>
      <c r="T44" s="18"/>
      <c r="U44" s="527">
        <f>'Benchmark Year Price'!F41</f>
        <v>46.587799697356402</v>
      </c>
      <c r="V44" s="576">
        <f t="shared" si="3"/>
        <v>1187426.6742093097</v>
      </c>
      <c r="W44" s="576">
        <f t="shared" si="4"/>
        <v>260054.90532076432</v>
      </c>
      <c r="X44" s="576">
        <f t="shared" si="5"/>
        <v>2030</v>
      </c>
      <c r="Y44" s="18"/>
      <c r="Z44" s="548">
        <f>'Age Profile'!O50</f>
        <v>3.1241873769456519E-2</v>
      </c>
      <c r="AA44" s="18"/>
      <c r="AB44" s="18"/>
      <c r="AC44" s="18"/>
    </row>
    <row r="45" spans="2:29" hidden="1" x14ac:dyDescent="0.2">
      <c r="B45" s="18" t="s">
        <v>704</v>
      </c>
      <c r="C45" s="490">
        <v>1958</v>
      </c>
      <c r="O45" s="18"/>
      <c r="P45" s="18"/>
      <c r="Q45" s="18"/>
      <c r="R45" s="18"/>
      <c r="S45" s="18"/>
      <c r="T45" s="18"/>
      <c r="U45" s="527">
        <f>'Benchmark Year Price'!F42</f>
        <v>48.478353162229681</v>
      </c>
      <c r="V45" s="576">
        <f t="shared" si="3"/>
        <v>8216446.642229937</v>
      </c>
      <c r="W45" s="576">
        <f t="shared" si="4"/>
        <v>1848047.7853445546</v>
      </c>
      <c r="X45" s="576">
        <f t="shared" si="5"/>
        <v>2031</v>
      </c>
      <c r="Y45" s="18"/>
      <c r="Z45" s="548">
        <f>'Age Profile'!O51</f>
        <v>0.21990663348068901</v>
      </c>
      <c r="AA45" s="18"/>
      <c r="AB45" s="18"/>
      <c r="AC45" s="18"/>
    </row>
    <row r="46" spans="2:29" hidden="1" x14ac:dyDescent="0.2">
      <c r="B46" s="18" t="s">
        <v>704</v>
      </c>
      <c r="C46" s="490">
        <v>1959</v>
      </c>
      <c r="O46" s="18"/>
      <c r="P46" s="18"/>
      <c r="Q46" s="18"/>
      <c r="R46" s="18"/>
      <c r="S46" s="18"/>
      <c r="T46" s="18"/>
      <c r="U46" s="527">
        <f>'Benchmark Year Price'!F43</f>
        <v>50.378921160603916</v>
      </c>
      <c r="V46" s="576">
        <f t="shared" si="3"/>
        <v>327565.97909222345</v>
      </c>
      <c r="W46" s="576">
        <f t="shared" si="4"/>
        <v>75665.665301767964</v>
      </c>
      <c r="X46" s="576">
        <f t="shared" si="5"/>
        <v>2032</v>
      </c>
      <c r="Y46" s="18"/>
      <c r="Z46" s="548">
        <f>'Age Profile'!O52</f>
        <v>8.9156357962777242E-3</v>
      </c>
      <c r="AA46" s="18"/>
      <c r="AB46" s="18"/>
      <c r="AC46" s="18"/>
    </row>
    <row r="47" spans="2:29" hidden="1" x14ac:dyDescent="0.2">
      <c r="B47" s="18" t="s">
        <v>704</v>
      </c>
      <c r="C47" s="490">
        <v>1960</v>
      </c>
      <c r="O47" s="18"/>
      <c r="P47" s="18"/>
      <c r="Q47" s="18"/>
      <c r="R47" s="18"/>
      <c r="S47" s="18"/>
      <c r="T47" s="18"/>
      <c r="U47" s="527">
        <f>'Benchmark Year Price'!F44</f>
        <v>51.403280925510415</v>
      </c>
      <c r="V47" s="576">
        <f t="shared" si="3"/>
        <v>0</v>
      </c>
      <c r="W47" s="576">
        <f t="shared" si="4"/>
        <v>0</v>
      </c>
      <c r="X47" s="576">
        <f t="shared" si="5"/>
        <v>2033</v>
      </c>
      <c r="Y47" s="18"/>
      <c r="Z47" s="548">
        <f>'Age Profile'!O53</f>
        <v>0</v>
      </c>
      <c r="AA47" s="18"/>
      <c r="AB47" s="18"/>
      <c r="AC47" s="18"/>
    </row>
    <row r="48" spans="2:29" hidden="1" x14ac:dyDescent="0.2">
      <c r="B48" s="18" t="s">
        <v>704</v>
      </c>
      <c r="C48" s="490">
        <v>1961</v>
      </c>
      <c r="O48" s="18"/>
      <c r="P48" s="18"/>
      <c r="Q48" s="18"/>
      <c r="R48" s="18"/>
      <c r="S48" s="18"/>
      <c r="T48" s="18"/>
      <c r="U48" s="535">
        <f>'Benchmark Year Price'!F45</f>
        <v>51.544185152412517</v>
      </c>
      <c r="V48" s="549">
        <f t="shared" si="3"/>
        <v>1242021.0040580139</v>
      </c>
      <c r="W48" s="549">
        <f t="shared" si="4"/>
        <v>302601.3222880445</v>
      </c>
      <c r="X48" s="549">
        <f t="shared" si="5"/>
        <v>2034</v>
      </c>
      <c r="Y48" s="18"/>
      <c r="Z48" s="548">
        <f>'Age Profile'!O54</f>
        <v>3.4931956362915913E-2</v>
      </c>
      <c r="AA48" s="18"/>
      <c r="AB48" s="18"/>
      <c r="AC48" s="18"/>
    </row>
    <row r="49" spans="1:29" hidden="1" x14ac:dyDescent="0.2">
      <c r="B49" s="18" t="s">
        <v>704</v>
      </c>
      <c r="C49" s="490">
        <v>1962</v>
      </c>
      <c r="O49" s="18"/>
      <c r="P49" s="18"/>
      <c r="Q49" s="18"/>
      <c r="R49" s="18"/>
      <c r="S49" s="18"/>
      <c r="T49" s="18"/>
      <c r="U49" s="535">
        <f>'Benchmark Year Price'!F46</f>
        <v>52.51404233942629</v>
      </c>
      <c r="V49" s="549">
        <f t="shared" si="3"/>
        <v>0</v>
      </c>
      <c r="W49" s="549">
        <f t="shared" si="4"/>
        <v>0</v>
      </c>
      <c r="X49" s="549">
        <f t="shared" si="5"/>
        <v>2035</v>
      </c>
      <c r="Y49" s="18"/>
      <c r="Z49" s="548">
        <f>'Age Profile'!O55</f>
        <v>0</v>
      </c>
      <c r="AA49" s="18"/>
      <c r="AB49" s="18"/>
      <c r="AC49" s="18"/>
    </row>
    <row r="50" spans="1:29" hidden="1" x14ac:dyDescent="0.2">
      <c r="B50" s="18" t="s">
        <v>704</v>
      </c>
      <c r="C50" s="490">
        <v>1963</v>
      </c>
      <c r="O50" s="18"/>
      <c r="P50" s="18"/>
      <c r="Q50" s="18"/>
      <c r="R50" s="18"/>
      <c r="S50" s="18"/>
      <c r="T50" s="18"/>
      <c r="U50" s="535">
        <f>'Benchmark Year Price'!F47</f>
        <v>53.843504762993959</v>
      </c>
      <c r="V50" s="549">
        <f t="shared" si="3"/>
        <v>0</v>
      </c>
      <c r="W50" s="549">
        <f t="shared" si="4"/>
        <v>0</v>
      </c>
      <c r="X50" s="549">
        <f t="shared" si="5"/>
        <v>2036</v>
      </c>
      <c r="Y50" s="18"/>
      <c r="Z50" s="548">
        <f>'Age Profile'!O56</f>
        <v>0</v>
      </c>
      <c r="AA50" s="18"/>
      <c r="AB50" s="18"/>
      <c r="AC50" s="18"/>
    </row>
    <row r="51" spans="1:29" hidden="1" x14ac:dyDescent="0.2">
      <c r="B51" s="18" t="s">
        <v>704</v>
      </c>
      <c r="C51" s="490">
        <v>1964</v>
      </c>
      <c r="O51" s="18"/>
      <c r="P51" s="18"/>
      <c r="Q51" s="18"/>
      <c r="R51" s="18"/>
      <c r="S51" s="18"/>
      <c r="T51" s="18"/>
      <c r="U51" s="535">
        <f>'Benchmark Year Price'!F48</f>
        <v>55.483830549748802</v>
      </c>
      <c r="V51" s="549">
        <f t="shared" si="3"/>
        <v>0</v>
      </c>
      <c r="W51" s="549">
        <f t="shared" si="4"/>
        <v>0</v>
      </c>
      <c r="X51" s="549">
        <f t="shared" si="5"/>
        <v>2037</v>
      </c>
      <c r="Y51" s="18"/>
      <c r="Z51" s="548">
        <f>'Age Profile'!O57</f>
        <v>0</v>
      </c>
      <c r="AA51" s="18"/>
      <c r="AB51" s="18"/>
      <c r="AC51" s="18"/>
    </row>
    <row r="52" spans="1:29" hidden="1" x14ac:dyDescent="0.2">
      <c r="B52" s="18" t="s">
        <v>704</v>
      </c>
      <c r="C52" s="490">
        <v>1965</v>
      </c>
      <c r="O52" s="18"/>
      <c r="P52" s="18"/>
      <c r="Q52" s="18"/>
      <c r="R52" s="18"/>
      <c r="S52" s="18"/>
      <c r="T52" s="18"/>
      <c r="U52" s="535">
        <f>'Benchmark Year Price'!F49</f>
        <v>57.388071072506627</v>
      </c>
      <c r="V52" s="549">
        <f t="shared" si="3"/>
        <v>0</v>
      </c>
      <c r="W52" s="549">
        <f t="shared" si="4"/>
        <v>0</v>
      </c>
      <c r="X52" s="549">
        <f t="shared" si="5"/>
        <v>2038</v>
      </c>
      <c r="Y52" s="18"/>
      <c r="Z52" s="548">
        <f>'Age Profile'!O58</f>
        <v>0</v>
      </c>
      <c r="AA52" s="18"/>
      <c r="AB52" s="18"/>
      <c r="AC52" s="18"/>
    </row>
    <row r="53" spans="1:29" hidden="1" x14ac:dyDescent="0.2">
      <c r="B53" s="18" t="s">
        <v>704</v>
      </c>
      <c r="C53" s="490">
        <v>1966</v>
      </c>
      <c r="O53" s="18"/>
      <c r="P53" s="18"/>
      <c r="Q53" s="18"/>
      <c r="R53" s="18"/>
      <c r="S53" s="18"/>
      <c r="T53" s="18"/>
      <c r="U53" s="535">
        <f>'Benchmark Year Price'!F50</f>
        <v>60.458691080750732</v>
      </c>
      <c r="V53" s="549">
        <f t="shared" si="3"/>
        <v>0</v>
      </c>
      <c r="W53" s="549">
        <f t="shared" si="4"/>
        <v>0</v>
      </c>
      <c r="X53" s="549">
        <f t="shared" si="5"/>
        <v>2039</v>
      </c>
      <c r="Y53" s="18"/>
      <c r="Z53" s="548">
        <f>'Age Profile'!O59</f>
        <v>0</v>
      </c>
      <c r="AA53" s="18"/>
      <c r="AB53" s="18"/>
      <c r="AC53" s="18"/>
    </row>
    <row r="54" spans="1:29" hidden="1" x14ac:dyDescent="0.2">
      <c r="B54" s="18" t="s">
        <v>704</v>
      </c>
      <c r="C54" s="490">
        <v>1967</v>
      </c>
      <c r="O54" s="18"/>
      <c r="P54" s="18"/>
      <c r="Q54" s="18"/>
      <c r="R54" s="18"/>
      <c r="S54" s="18"/>
      <c r="T54" s="18"/>
      <c r="U54" s="535">
        <f>'Benchmark Year Price'!F51</f>
        <v>64.264153106800975</v>
      </c>
      <c r="V54" s="549">
        <f t="shared" si="3"/>
        <v>1160129.5092849578</v>
      </c>
      <c r="W54" s="549">
        <f t="shared" si="4"/>
        <v>331645.26586643525</v>
      </c>
      <c r="X54" s="549">
        <f t="shared" si="5"/>
        <v>2040</v>
      </c>
      <c r="Y54" s="18"/>
      <c r="Z54" s="548">
        <f>'Age Profile'!O60</f>
        <v>3.578637146005919E-2</v>
      </c>
      <c r="AA54" s="18"/>
      <c r="AB54" s="18"/>
      <c r="AC54" s="18"/>
    </row>
    <row r="55" spans="1:29" hidden="1" x14ac:dyDescent="0.2">
      <c r="B55" s="18" t="s">
        <v>704</v>
      </c>
      <c r="C55" s="490">
        <v>1968</v>
      </c>
      <c r="O55" s="18"/>
      <c r="P55" s="18"/>
      <c r="Q55" s="18"/>
      <c r="R55" s="18"/>
      <c r="S55" s="18"/>
      <c r="T55" s="18"/>
      <c r="U55" s="535">
        <f>'Benchmark Year Price'!F52</f>
        <v>67.070693749614904</v>
      </c>
      <c r="V55" s="549">
        <f t="shared" si="3"/>
        <v>0</v>
      </c>
      <c r="W55" s="549">
        <f t="shared" si="4"/>
        <v>0</v>
      </c>
      <c r="X55" s="549">
        <f t="shared" si="5"/>
        <v>2041</v>
      </c>
      <c r="Y55" s="18"/>
      <c r="Z55" s="548">
        <f>'Age Profile'!O61</f>
        <v>0</v>
      </c>
      <c r="AA55" s="18"/>
      <c r="AB55" s="18"/>
      <c r="AC55" s="18"/>
    </row>
    <row r="56" spans="1:29" hidden="1" x14ac:dyDescent="0.2">
      <c r="B56" s="18" t="s">
        <v>704</v>
      </c>
      <c r="C56" s="490">
        <v>1969</v>
      </c>
      <c r="O56" s="18"/>
      <c r="P56" s="18"/>
      <c r="Q56" s="18"/>
      <c r="R56" s="18"/>
      <c r="S56" s="18"/>
      <c r="T56" s="18"/>
      <c r="U56" s="535">
        <f>'Benchmark Year Price'!F53</f>
        <v>71.802731262202371</v>
      </c>
      <c r="V56" s="549">
        <f t="shared" si="3"/>
        <v>0</v>
      </c>
      <c r="W56" s="549">
        <f t="shared" si="4"/>
        <v>0</v>
      </c>
      <c r="X56" s="549">
        <f t="shared" si="5"/>
        <v>2042</v>
      </c>
      <c r="Y56" s="18"/>
      <c r="Z56" s="548">
        <f>'Age Profile'!O62</f>
        <v>0</v>
      </c>
      <c r="AA56" s="18"/>
      <c r="AB56" s="18"/>
      <c r="AC56" s="18"/>
    </row>
    <row r="57" spans="1:29" hidden="1" x14ac:dyDescent="0.2">
      <c r="B57" s="18" t="s">
        <v>704</v>
      </c>
      <c r="C57" s="490">
        <v>1970</v>
      </c>
      <c r="K57" s="427"/>
      <c r="L57" s="427"/>
      <c r="M57" s="427"/>
      <c r="N57" s="427"/>
      <c r="U57" s="468">
        <f>'Benchmark Year Price'!F54</f>
        <v>75.96867463555445</v>
      </c>
      <c r="V57" s="432">
        <f t="shared" si="3"/>
        <v>0</v>
      </c>
      <c r="W57" s="549">
        <f t="shared" si="4"/>
        <v>0</v>
      </c>
      <c r="X57" s="549">
        <f t="shared" si="5"/>
        <v>2043</v>
      </c>
      <c r="Z57" s="548">
        <f>'Age Profile'!O63</f>
        <v>0</v>
      </c>
    </row>
    <row r="58" spans="1:29" hidden="1" x14ac:dyDescent="0.2">
      <c r="B58" s="18" t="s">
        <v>704</v>
      </c>
      <c r="C58" s="490">
        <v>1971</v>
      </c>
      <c r="K58" s="427"/>
      <c r="L58" s="427"/>
      <c r="M58" s="427"/>
      <c r="N58" s="427"/>
      <c r="U58" s="468">
        <f>'Benchmark Year Price'!F55</f>
        <v>82.401937494934856</v>
      </c>
      <c r="V58" s="432">
        <f t="shared" si="3"/>
        <v>1869855.7973181084</v>
      </c>
      <c r="W58" s="549">
        <f t="shared" si="4"/>
        <v>594646.78518416279</v>
      </c>
      <c r="X58" s="549">
        <f t="shared" si="5"/>
        <v>2044</v>
      </c>
      <c r="Z58" s="548">
        <f>'Age Profile'!O64</f>
        <v>6.1072105204502403E-2</v>
      </c>
    </row>
    <row r="59" spans="1:29" s="507" customFormat="1" x14ac:dyDescent="0.2">
      <c r="A59" s="507" t="s">
        <v>832</v>
      </c>
      <c r="B59" s="507" t="s">
        <v>704</v>
      </c>
      <c r="C59" s="508">
        <v>1972</v>
      </c>
      <c r="D59" s="509">
        <f>6526*$G$136</f>
        <v>5807.9849503733421</v>
      </c>
      <c r="E59" s="509"/>
      <c r="F59" s="509">
        <v>6117.1</v>
      </c>
      <c r="K59" s="509"/>
      <c r="L59" s="509"/>
      <c r="M59" s="509">
        <f>$G$136*1584296000</f>
        <v>1409985799.1015451</v>
      </c>
      <c r="N59" s="509">
        <f>$G$136*225650000</f>
        <v>200823138.83722717</v>
      </c>
      <c r="U59" s="538">
        <f>'Benchmark Year Price'!F56</f>
        <v>90.370769005625831</v>
      </c>
      <c r="V59" s="509">
        <f t="shared" si="3"/>
        <v>0</v>
      </c>
      <c r="W59" s="549">
        <f t="shared" si="4"/>
        <v>0</v>
      </c>
      <c r="X59" s="549">
        <f t="shared" si="5"/>
        <v>2045</v>
      </c>
      <c r="Y59" s="509">
        <f>(M59-N59)/G119</f>
        <v>30197769.147888906</v>
      </c>
      <c r="Z59" s="509">
        <f>'Age Profile'!O65</f>
        <v>0</v>
      </c>
      <c r="AA59" s="509"/>
    </row>
    <row r="60" spans="1:29" x14ac:dyDescent="0.2">
      <c r="B60" s="18" t="s">
        <v>704</v>
      </c>
      <c r="C60" s="490">
        <v>1973</v>
      </c>
      <c r="D60" s="427"/>
      <c r="E60" s="427"/>
      <c r="F60" s="427"/>
      <c r="K60" s="427">
        <f t="shared" ref="K60:K88" si="6">L60*$G$136</f>
        <v>7628876.3399632676</v>
      </c>
      <c r="L60" s="427">
        <v>8572000</v>
      </c>
      <c r="M60" s="427"/>
      <c r="N60" s="427"/>
      <c r="U60" s="468">
        <f>'Benchmark Year Price'!F57</f>
        <v>100</v>
      </c>
      <c r="V60" s="432">
        <f t="shared" ref="V60:V101" si="7">K60/U60</f>
        <v>76288.763399632677</v>
      </c>
      <c r="W60" s="549">
        <f t="shared" si="4"/>
        <v>25589.002175293983</v>
      </c>
      <c r="X60" s="549">
        <f t="shared" si="5"/>
        <v>2046</v>
      </c>
      <c r="Y60" s="432">
        <f t="shared" ref="Y60:Y101" si="8">Y59*(1-$G$116)+(K60/U60)</f>
        <v>29480122.12592886</v>
      </c>
      <c r="Z60" s="432"/>
      <c r="AA60" s="432">
        <f>Y59</f>
        <v>30197769.147888906</v>
      </c>
    </row>
    <row r="61" spans="1:29" x14ac:dyDescent="0.2">
      <c r="B61" s="18" t="s">
        <v>704</v>
      </c>
      <c r="C61" s="490">
        <v>1974</v>
      </c>
      <c r="K61" s="427">
        <f t="shared" si="6"/>
        <v>1808431.7222124778</v>
      </c>
      <c r="L61" s="427">
        <v>2032000</v>
      </c>
      <c r="M61" s="427"/>
      <c r="N61" s="427"/>
      <c r="U61" s="468">
        <f>'Benchmark Year Price'!F58</f>
        <v>122.68177329332504</v>
      </c>
      <c r="V61" s="432">
        <f t="shared" si="7"/>
        <v>14740.834548328723</v>
      </c>
      <c r="W61" s="549">
        <f t="shared" si="4"/>
        <v>5077.9188427746103</v>
      </c>
      <c r="X61" s="549">
        <f t="shared" si="5"/>
        <v>2047</v>
      </c>
      <c r="Y61" s="432">
        <f t="shared" si="8"/>
        <v>28719794.981186245</v>
      </c>
      <c r="Z61" s="432"/>
      <c r="AA61" s="432">
        <f t="shared" ref="AA61:AA101" si="9">Y60</f>
        <v>29480122.12592886</v>
      </c>
    </row>
    <row r="62" spans="1:29" x14ac:dyDescent="0.2">
      <c r="B62" s="18" t="s">
        <v>704</v>
      </c>
      <c r="C62" s="490">
        <v>1975</v>
      </c>
      <c r="K62" s="427">
        <f t="shared" si="6"/>
        <v>4405382.394169176</v>
      </c>
      <c r="L62" s="427">
        <v>4950000</v>
      </c>
      <c r="M62" s="427"/>
      <c r="N62" s="427"/>
      <c r="U62" s="468">
        <f>'Benchmark Year Price'!F59</f>
        <v>139.23310184664359</v>
      </c>
      <c r="V62" s="432">
        <f t="shared" si="7"/>
        <v>31640.337935022268</v>
      </c>
      <c r="W62" s="549">
        <f t="shared" si="4"/>
        <v>11193.752626425197</v>
      </c>
      <c r="X62" s="549">
        <f t="shared" si="5"/>
        <v>2048</v>
      </c>
      <c r="Y62" s="432">
        <f t="shared" si="8"/>
        <v>27996357.257821791</v>
      </c>
      <c r="Z62" s="432"/>
      <c r="AA62" s="432">
        <f t="shared" si="9"/>
        <v>28719794.981186245</v>
      </c>
    </row>
    <row r="63" spans="1:29" x14ac:dyDescent="0.2">
      <c r="B63" s="18" t="s">
        <v>704</v>
      </c>
      <c r="C63" s="490">
        <v>1976</v>
      </c>
      <c r="H63" s="427"/>
      <c r="I63" s="427"/>
      <c r="K63" s="427">
        <f t="shared" si="6"/>
        <v>49068840.061114646</v>
      </c>
      <c r="L63" s="427">
        <v>55135000</v>
      </c>
      <c r="M63" s="427"/>
      <c r="N63" s="427"/>
      <c r="U63" s="468">
        <f>'Benchmark Year Price'!F60</f>
        <v>150.1002240342855</v>
      </c>
      <c r="V63" s="432">
        <f t="shared" si="7"/>
        <v>326907.17403530638</v>
      </c>
      <c r="W63" s="549">
        <f t="shared" si="4"/>
        <v>118776.3433666389</v>
      </c>
      <c r="X63" s="549">
        <f t="shared" si="5"/>
        <v>2049</v>
      </c>
      <c r="Y63" s="432">
        <f t="shared" si="8"/>
        <v>27587206.421152927</v>
      </c>
      <c r="Z63" s="432"/>
      <c r="AA63" s="432">
        <f t="shared" si="9"/>
        <v>27996357.257821791</v>
      </c>
    </row>
    <row r="64" spans="1:29" x14ac:dyDescent="0.2">
      <c r="B64" s="18" t="s">
        <v>704</v>
      </c>
      <c r="C64" s="490">
        <v>1977</v>
      </c>
      <c r="H64" s="427"/>
      <c r="I64" s="427"/>
      <c r="K64" s="427">
        <f t="shared" si="6"/>
        <v>53052373.716933079</v>
      </c>
      <c r="L64" s="427">
        <v>59611000</v>
      </c>
      <c r="M64" s="427"/>
      <c r="N64" s="427"/>
      <c r="U64" s="468">
        <f>'Benchmark Year Price'!F61</f>
        <v>159.91199920366449</v>
      </c>
      <c r="V64" s="432">
        <f t="shared" si="7"/>
        <v>331759.80527493363</v>
      </c>
      <c r="W64" s="549">
        <f t="shared" si="4"/>
        <v>123794.16505181087</v>
      </c>
      <c r="X64" s="549">
        <f t="shared" si="5"/>
        <v>2050</v>
      </c>
      <c r="Y64" s="432">
        <f t="shared" si="8"/>
        <v>27193665.284871757</v>
      </c>
      <c r="Z64" s="432"/>
      <c r="AA64" s="432">
        <f t="shared" si="9"/>
        <v>27587206.421152927</v>
      </c>
    </row>
    <row r="65" spans="2:29" x14ac:dyDescent="0.2">
      <c r="B65" s="18" t="s">
        <v>704</v>
      </c>
      <c r="C65" s="490">
        <v>1978</v>
      </c>
      <c r="J65" s="490"/>
      <c r="K65" s="427">
        <f t="shared" si="6"/>
        <v>6818997.9604291366</v>
      </c>
      <c r="L65" s="427">
        <v>7662000</v>
      </c>
      <c r="M65" s="427"/>
      <c r="U65" s="468">
        <f>'Benchmark Year Price'!F62</f>
        <v>173.76160811942628</v>
      </c>
      <c r="V65" s="432">
        <f t="shared" si="7"/>
        <v>39243.409601403102</v>
      </c>
      <c r="W65" s="549">
        <f t="shared" si="4"/>
        <v>15038.82995622043</v>
      </c>
      <c r="X65" s="549">
        <f t="shared" si="5"/>
        <v>2051</v>
      </c>
      <c r="Y65" s="432">
        <f t="shared" si="8"/>
        <v>26517954.424208388</v>
      </c>
      <c r="Z65" s="432"/>
      <c r="AA65" s="432">
        <f t="shared" si="9"/>
        <v>27193665.284871757</v>
      </c>
    </row>
    <row r="66" spans="2:29" x14ac:dyDescent="0.2">
      <c r="B66" s="18" t="s">
        <v>704</v>
      </c>
      <c r="C66" s="490">
        <v>1979</v>
      </c>
      <c r="J66" s="490"/>
      <c r="K66" s="427">
        <f t="shared" si="6"/>
        <v>11658688.760326507</v>
      </c>
      <c r="L66" s="427">
        <v>13100000</v>
      </c>
      <c r="M66" s="427"/>
      <c r="U66" s="468">
        <f>'Benchmark Year Price'!F63</f>
        <v>195.76588928441967</v>
      </c>
      <c r="V66" s="432">
        <f t="shared" si="7"/>
        <v>59554.24003100003</v>
      </c>
      <c r="W66" s="549">
        <f t="shared" si="4"/>
        <v>23438.559139370507</v>
      </c>
      <c r="X66" s="549">
        <f t="shared" si="5"/>
        <v>2052</v>
      </c>
      <c r="Y66" s="432">
        <f t="shared" si="8"/>
        <v>25880319.6477657</v>
      </c>
      <c r="Z66" s="432"/>
      <c r="AA66" s="432">
        <f t="shared" si="9"/>
        <v>26517954.424208388</v>
      </c>
    </row>
    <row r="67" spans="2:29" x14ac:dyDescent="0.2">
      <c r="B67" s="18" t="s">
        <v>704</v>
      </c>
      <c r="C67" s="490">
        <v>1980</v>
      </c>
      <c r="J67" s="490"/>
      <c r="K67" s="427">
        <f t="shared" si="6"/>
        <v>4113470.18704039</v>
      </c>
      <c r="L67" s="427">
        <v>4622000</v>
      </c>
      <c r="M67" s="427"/>
      <c r="U67" s="468">
        <f>'Benchmark Year Price'!F64</f>
        <v>218.20769049583737</v>
      </c>
      <c r="V67" s="432">
        <f t="shared" si="7"/>
        <v>18851.169625109342</v>
      </c>
      <c r="W67" s="549">
        <f t="shared" si="4"/>
        <v>7619.5168280453008</v>
      </c>
      <c r="X67" s="549">
        <f t="shared" si="5"/>
        <v>2053</v>
      </c>
      <c r="Y67" s="432">
        <f t="shared" si="8"/>
        <v>25218745.988514174</v>
      </c>
      <c r="Z67" s="432"/>
      <c r="AA67" s="432">
        <f t="shared" si="9"/>
        <v>25880319.6477657</v>
      </c>
    </row>
    <row r="68" spans="2:29" x14ac:dyDescent="0.2">
      <c r="B68" s="18" t="s">
        <v>704</v>
      </c>
      <c r="C68" s="490">
        <v>1981</v>
      </c>
      <c r="D68" s="38"/>
      <c r="E68" s="38"/>
      <c r="F68" s="38"/>
      <c r="J68" s="490"/>
      <c r="K68" s="427">
        <f t="shared" si="6"/>
        <v>13284675.353083493</v>
      </c>
      <c r="L68" s="427">
        <v>14927000</v>
      </c>
      <c r="M68" s="427"/>
      <c r="U68" s="468">
        <f>'Benchmark Year Price'!F65</f>
        <v>238.35097813036745</v>
      </c>
      <c r="V68" s="432">
        <f t="shared" si="7"/>
        <v>55735.770238028403</v>
      </c>
      <c r="W68" s="549">
        <f t="shared" si="4"/>
        <v>23136.307426662581</v>
      </c>
      <c r="X68" s="549">
        <f t="shared" si="5"/>
        <v>2054</v>
      </c>
      <c r="Y68" s="432">
        <f t="shared" si="8"/>
        <v>24611450.4995846</v>
      </c>
      <c r="Z68" s="432"/>
      <c r="AA68" s="432">
        <f t="shared" si="9"/>
        <v>25218745.988514174</v>
      </c>
    </row>
    <row r="69" spans="2:29" x14ac:dyDescent="0.2">
      <c r="B69" s="18" t="s">
        <v>704</v>
      </c>
      <c r="C69" s="490">
        <v>1982</v>
      </c>
      <c r="D69" s="472"/>
      <c r="E69" s="38"/>
      <c r="F69" s="472"/>
      <c r="J69" s="490"/>
      <c r="K69" s="427">
        <f t="shared" si="6"/>
        <v>7620866.553792051</v>
      </c>
      <c r="L69" s="427">
        <v>8563000</v>
      </c>
      <c r="M69" s="427"/>
      <c r="U69" s="468">
        <f>'Benchmark Year Price'!F66</f>
        <v>253.92292370744164</v>
      </c>
      <c r="V69" s="432">
        <f t="shared" si="7"/>
        <v>30012.518927091689</v>
      </c>
      <c r="W69" s="549">
        <f t="shared" si="4"/>
        <v>12794.796828879269</v>
      </c>
      <c r="X69" s="549">
        <f t="shared" si="5"/>
        <v>2055</v>
      </c>
      <c r="Y69" s="432">
        <f t="shared" si="8"/>
        <v>23994398.290467214</v>
      </c>
      <c r="Z69" s="432"/>
      <c r="AA69" s="432">
        <f t="shared" si="9"/>
        <v>24611450.4995846</v>
      </c>
    </row>
    <row r="70" spans="2:29" x14ac:dyDescent="0.2">
      <c r="B70" s="18" t="s">
        <v>704</v>
      </c>
      <c r="C70" s="490">
        <v>1983</v>
      </c>
      <c r="J70" s="490"/>
      <c r="K70" s="427">
        <f t="shared" si="6"/>
        <v>19366772.985760693</v>
      </c>
      <c r="L70" s="427">
        <v>21761000</v>
      </c>
      <c r="M70" s="427"/>
      <c r="U70" s="468">
        <f>'Benchmark Year Price'!F67</f>
        <v>267.86674751848329</v>
      </c>
      <c r="V70" s="432">
        <f t="shared" si="7"/>
        <v>72300.02665569511</v>
      </c>
      <c r="W70" s="549">
        <f t="shared" si="4"/>
        <v>31654.853825574621</v>
      </c>
      <c r="X70" s="549">
        <f t="shared" si="5"/>
        <v>2056</v>
      </c>
      <c r="Y70" s="432">
        <f t="shared" si="8"/>
        <v>23435856.636147056</v>
      </c>
      <c r="Z70" s="432"/>
      <c r="AA70" s="432">
        <f t="shared" si="9"/>
        <v>23994398.290467214</v>
      </c>
    </row>
    <row r="71" spans="2:29" s="507" customFormat="1" x14ac:dyDescent="0.2">
      <c r="B71" s="507" t="s">
        <v>704</v>
      </c>
      <c r="C71" s="508">
        <v>1984</v>
      </c>
      <c r="D71" s="509">
        <f>E71*$G$136</f>
        <v>5807.9849503733421</v>
      </c>
      <c r="E71" s="509">
        <v>6526</v>
      </c>
      <c r="F71" s="509">
        <v>6526</v>
      </c>
      <c r="G71" s="509">
        <v>37260895</v>
      </c>
      <c r="H71" s="510">
        <f>I71*$G$136</f>
        <v>61016.812750734287</v>
      </c>
      <c r="I71" s="510">
        <f>((1000*$G$71*$J$71)/100)/1000</f>
        <v>68560.046799999996</v>
      </c>
      <c r="J71" s="508">
        <v>0.184</v>
      </c>
      <c r="K71" s="509">
        <f t="shared" si="6"/>
        <v>38952480.12686798</v>
      </c>
      <c r="L71" s="509">
        <v>43768000</v>
      </c>
      <c r="M71" s="509"/>
      <c r="O71" s="552">
        <v>57.2</v>
      </c>
      <c r="P71" s="552"/>
      <c r="Q71" s="511"/>
      <c r="R71" s="438"/>
      <c r="S71" s="438"/>
      <c r="T71" s="538">
        <f t="shared" ref="T71:T87" si="10">T72*O71/O72</f>
        <v>0.63344407530454083</v>
      </c>
      <c r="U71" s="538">
        <f>'Benchmark Year Price'!F68</f>
        <v>277.44269678814175</v>
      </c>
      <c r="V71" s="512">
        <f t="shared" si="7"/>
        <v>140398.28972904093</v>
      </c>
      <c r="W71" s="549">
        <f t="shared" si="4"/>
        <v>63129.824257410968</v>
      </c>
      <c r="X71" s="549">
        <f t="shared" si="5"/>
        <v>2057</v>
      </c>
      <c r="Y71" s="512">
        <f t="shared" si="8"/>
        <v>22960097.978888605</v>
      </c>
      <c r="Z71" s="512"/>
      <c r="AA71" s="512">
        <f t="shared" si="9"/>
        <v>23435856.636147056</v>
      </c>
      <c r="AB71" s="511"/>
      <c r="AC71" s="511"/>
    </row>
    <row r="72" spans="2:29" x14ac:dyDescent="0.2">
      <c r="B72" s="18" t="s">
        <v>704</v>
      </c>
      <c r="C72" s="490">
        <v>1985</v>
      </c>
      <c r="D72" s="427"/>
      <c r="E72" s="427"/>
      <c r="F72" s="427"/>
      <c r="G72" s="427"/>
      <c r="H72" s="435"/>
      <c r="I72" s="435">
        <f>((1000*G72*J72)/100)/1000</f>
        <v>0</v>
      </c>
      <c r="J72" s="490">
        <v>0.187</v>
      </c>
      <c r="K72" s="427">
        <f t="shared" si="6"/>
        <v>11466453.892217305</v>
      </c>
      <c r="L72" s="427">
        <v>12884000</v>
      </c>
      <c r="M72" s="427"/>
      <c r="N72" s="427"/>
      <c r="O72" s="462">
        <v>59.3</v>
      </c>
      <c r="P72" s="462"/>
      <c r="Q72" s="434"/>
      <c r="R72" s="438"/>
      <c r="S72" s="438"/>
      <c r="T72" s="468">
        <f t="shared" si="10"/>
        <v>0.65669988925802913</v>
      </c>
      <c r="U72" s="468">
        <f>'Benchmark Year Price'!F69</f>
        <v>286.17746624557026</v>
      </c>
      <c r="V72" s="432">
        <f t="shared" si="7"/>
        <v>40067.633705226413</v>
      </c>
      <c r="W72" s="549">
        <f t="shared" si="4"/>
        <v>18502.796214374779</v>
      </c>
      <c r="X72" s="549">
        <f t="shared" si="5"/>
        <v>2058</v>
      </c>
      <c r="Y72" s="432">
        <f t="shared" si="8"/>
        <v>22396516.934721924</v>
      </c>
      <c r="Z72" s="432"/>
      <c r="AA72" s="432">
        <f t="shared" si="9"/>
        <v>22960097.978888605</v>
      </c>
      <c r="AB72" s="434"/>
      <c r="AC72" s="434"/>
    </row>
    <row r="73" spans="2:29" x14ac:dyDescent="0.2">
      <c r="B73" s="18" t="s">
        <v>704</v>
      </c>
      <c r="C73" s="490">
        <v>1986</v>
      </c>
      <c r="D73" s="427"/>
      <c r="E73" s="427"/>
      <c r="F73" s="427"/>
      <c r="I73" s="435">
        <f>((1000*G73*J73)/100)/1000</f>
        <v>0</v>
      </c>
      <c r="J73" s="490">
        <v>0.21299999999999999</v>
      </c>
      <c r="K73" s="427">
        <f t="shared" si="6"/>
        <v>12911775.308001293</v>
      </c>
      <c r="L73" s="427">
        <v>14508000</v>
      </c>
      <c r="M73" s="427"/>
      <c r="N73" s="427"/>
      <c r="O73">
        <v>61.6</v>
      </c>
      <c r="Q73" s="438"/>
      <c r="R73" s="438"/>
      <c r="S73" s="438"/>
      <c r="T73" s="468">
        <f t="shared" si="10"/>
        <v>0.68217054263565924</v>
      </c>
      <c r="U73" s="468">
        <f>'Benchmark Year Price'!F70</f>
        <v>295.17796308539448</v>
      </c>
      <c r="V73" s="432">
        <f t="shared" si="7"/>
        <v>43742.341647184337</v>
      </c>
      <c r="W73" s="549">
        <f t="shared" si="4"/>
        <v>20745.151318512406</v>
      </c>
      <c r="X73" s="549">
        <f t="shared" si="5"/>
        <v>2059</v>
      </c>
      <c r="Y73" s="432">
        <f t="shared" si="8"/>
        <v>21851427.824124798</v>
      </c>
      <c r="Z73" s="432"/>
      <c r="AA73" s="432">
        <f t="shared" si="9"/>
        <v>22396516.934721924</v>
      </c>
      <c r="AB73" s="438"/>
      <c r="AC73" s="438"/>
    </row>
    <row r="74" spans="2:29" x14ac:dyDescent="0.2">
      <c r="B74" s="18" t="s">
        <v>704</v>
      </c>
      <c r="C74" s="490">
        <v>1987</v>
      </c>
      <c r="D74" s="427"/>
      <c r="E74" s="427"/>
      <c r="F74" s="427"/>
      <c r="G74" s="427"/>
      <c r="I74" s="435">
        <f t="shared" ref="I74:I83" si="11">((1000*G74*J74)/100)/1000</f>
        <v>0</v>
      </c>
      <c r="J74" s="490">
        <v>0.27600000000000002</v>
      </c>
      <c r="K74" s="427">
        <f t="shared" si="6"/>
        <v>21626422.662285045</v>
      </c>
      <c r="L74" s="427">
        <v>24300000</v>
      </c>
      <c r="M74" s="427"/>
      <c r="N74" s="427"/>
      <c r="O74">
        <v>64.2</v>
      </c>
      <c r="Q74" s="438"/>
      <c r="R74" s="438"/>
      <c r="S74" s="438"/>
      <c r="T74" s="468">
        <f t="shared" si="10"/>
        <v>0.71096345514950199</v>
      </c>
      <c r="U74" s="468">
        <f>'Benchmark Year Price'!F71</f>
        <v>310.49174589571345</v>
      </c>
      <c r="V74" s="432">
        <f t="shared" si="7"/>
        <v>69652.166114421692</v>
      </c>
      <c r="W74" s="549">
        <f t="shared" si="4"/>
        <v>33925.020104715069</v>
      </c>
      <c r="X74" s="549">
        <f t="shared" si="5"/>
        <v>2060</v>
      </c>
      <c r="Y74" s="432">
        <f t="shared" si="8"/>
        <v>21346579.588377923</v>
      </c>
      <c r="Z74" s="432"/>
      <c r="AA74" s="432">
        <f t="shared" si="9"/>
        <v>21851427.824124798</v>
      </c>
      <c r="AB74" s="438"/>
      <c r="AC74" s="438"/>
    </row>
    <row r="75" spans="2:29" x14ac:dyDescent="0.2">
      <c r="B75" s="18" t="s">
        <v>704</v>
      </c>
      <c r="C75" s="490">
        <v>1988</v>
      </c>
      <c r="D75" s="439"/>
      <c r="E75" s="567"/>
      <c r="F75" s="439"/>
      <c r="G75" s="439"/>
      <c r="H75" s="435"/>
      <c r="I75" s="435">
        <f t="shared" si="11"/>
        <v>0</v>
      </c>
      <c r="J75" s="492">
        <v>0.27</v>
      </c>
      <c r="K75" s="427">
        <f t="shared" si="6"/>
        <v>33989972.605678618</v>
      </c>
      <c r="L75" s="427">
        <v>38192000</v>
      </c>
      <c r="M75" s="439">
        <v>1899000000</v>
      </c>
      <c r="N75" s="439"/>
      <c r="O75" s="462">
        <v>66.599999999999994</v>
      </c>
      <c r="P75" s="462"/>
      <c r="Q75" s="434"/>
      <c r="R75" s="438"/>
      <c r="S75" s="438"/>
      <c r="T75" s="468">
        <f t="shared" si="10"/>
        <v>0.73754152823920294</v>
      </c>
      <c r="U75" s="468">
        <f>'Benchmark Year Price'!F72</f>
        <v>326.79175152733268</v>
      </c>
      <c r="V75" s="432">
        <f t="shared" si="7"/>
        <v>104011.10935884718</v>
      </c>
      <c r="W75" s="549">
        <f t="shared" ref="W75:W101" si="12">V75*(1-$G$116)^(2014-C75)</f>
        <v>52027.879173114685</v>
      </c>
      <c r="X75" s="549">
        <f t="shared" ref="X75:X101" si="13">C75+73</f>
        <v>2061</v>
      </c>
      <c r="Y75" s="432">
        <f t="shared" si="8"/>
        <v>20889363.365106918</v>
      </c>
      <c r="Z75" s="432"/>
      <c r="AA75" s="432">
        <f t="shared" si="9"/>
        <v>21346579.588377923</v>
      </c>
      <c r="AB75" s="434"/>
      <c r="AC75" s="434"/>
    </row>
    <row r="76" spans="2:29" x14ac:dyDescent="0.2">
      <c r="B76" s="18" t="s">
        <v>704</v>
      </c>
      <c r="C76" s="350">
        <v>1989</v>
      </c>
      <c r="D76" s="427">
        <f t="shared" ref="D76:D88" si="14">E76*$G$136</f>
        <v>5805.3150216496024</v>
      </c>
      <c r="E76" s="427">
        <v>6523</v>
      </c>
      <c r="F76" s="427">
        <v>5775</v>
      </c>
      <c r="G76" s="427">
        <v>34300000</v>
      </c>
      <c r="H76" s="432">
        <f t="shared" ref="H76:H83" si="15">I76*$G$136</f>
        <v>83947.008955557074</v>
      </c>
      <c r="I76" s="435">
        <f t="shared" si="11"/>
        <v>94325</v>
      </c>
      <c r="J76" s="490">
        <v>0.27500000000000002</v>
      </c>
      <c r="K76" s="580">
        <f t="shared" si="6"/>
        <v>29809754.200544756</v>
      </c>
      <c r="L76" s="580">
        <f>M76-M75+0.005*M75</f>
        <v>33495000</v>
      </c>
      <c r="M76" s="576">
        <v>1923000000</v>
      </c>
      <c r="N76" s="38"/>
      <c r="O76">
        <v>69.599999999999994</v>
      </c>
      <c r="Q76" s="438"/>
      <c r="R76" s="438"/>
      <c r="S76" s="438"/>
      <c r="T76" s="468">
        <f t="shared" si="10"/>
        <v>0.77076411960132918</v>
      </c>
      <c r="U76" s="468">
        <f>'Benchmark Year Price'!F73</f>
        <v>337.5275448711904</v>
      </c>
      <c r="V76" s="432">
        <f t="shared" si="7"/>
        <v>88317.989608584277</v>
      </c>
      <c r="W76" s="549">
        <f t="shared" si="12"/>
        <v>45370.804177770406</v>
      </c>
      <c r="X76" s="549">
        <f t="shared" si="13"/>
        <v>2062</v>
      </c>
      <c r="Y76" s="432">
        <f t="shared" si="8"/>
        <v>20428474.788239736</v>
      </c>
      <c r="Z76" s="432"/>
      <c r="AA76" s="432">
        <f t="shared" si="9"/>
        <v>20889363.365106918</v>
      </c>
      <c r="AB76" s="438"/>
      <c r="AC76" s="438"/>
    </row>
    <row r="77" spans="2:29" x14ac:dyDescent="0.2">
      <c r="B77" s="18" t="s">
        <v>704</v>
      </c>
      <c r="C77" s="350">
        <v>1990</v>
      </c>
      <c r="D77" s="427">
        <f t="shared" si="14"/>
        <v>5805.3150216496024</v>
      </c>
      <c r="E77" s="427">
        <v>6523</v>
      </c>
      <c r="F77" s="427">
        <v>5775</v>
      </c>
      <c r="G77" s="427">
        <v>35600000</v>
      </c>
      <c r="H77" s="427">
        <f t="shared" si="15"/>
        <v>85861.347850477861</v>
      </c>
      <c r="I77" s="435">
        <f t="shared" si="11"/>
        <v>96476</v>
      </c>
      <c r="J77" s="490">
        <v>0.27100000000000002</v>
      </c>
      <c r="K77" s="580">
        <f t="shared" si="6"/>
        <v>52165957.380651765</v>
      </c>
      <c r="L77" s="580">
        <f t="shared" ref="L77:L85" si="16">M77-M76+0.005*M76</f>
        <v>58615000</v>
      </c>
      <c r="M77" s="576">
        <v>1972000000</v>
      </c>
      <c r="N77" s="38"/>
      <c r="O77">
        <v>72.3</v>
      </c>
      <c r="Q77" s="438"/>
      <c r="R77" s="438"/>
      <c r="S77" s="438"/>
      <c r="T77" s="468">
        <f t="shared" si="10"/>
        <v>0.80066445182724277</v>
      </c>
      <c r="U77" s="468">
        <f>'Benchmark Year Price'!F74</f>
        <v>341.20818303562589</v>
      </c>
      <c r="V77" s="432">
        <f t="shared" si="7"/>
        <v>152886.00911193583</v>
      </c>
      <c r="W77" s="549">
        <f t="shared" si="12"/>
        <v>80661.436934225159</v>
      </c>
      <c r="X77" s="549">
        <f t="shared" si="13"/>
        <v>2063</v>
      </c>
      <c r="Y77" s="432">
        <f t="shared" si="8"/>
        <v>20044271.547636833</v>
      </c>
      <c r="Z77" s="432"/>
      <c r="AA77" s="432">
        <f t="shared" si="9"/>
        <v>20428474.788239736</v>
      </c>
      <c r="AB77" s="438"/>
      <c r="AC77" s="438"/>
    </row>
    <row r="78" spans="2:29" x14ac:dyDescent="0.2">
      <c r="B78" s="18" t="s">
        <v>704</v>
      </c>
      <c r="C78" s="350">
        <v>1991</v>
      </c>
      <c r="D78" s="427">
        <f t="shared" si="14"/>
        <v>5805.3150216496024</v>
      </c>
      <c r="E78" s="427">
        <v>6523</v>
      </c>
      <c r="F78" s="427">
        <v>5775</v>
      </c>
      <c r="G78" s="427">
        <v>33200000</v>
      </c>
      <c r="H78" s="427">
        <f t="shared" si="15"/>
        <v>88346.161516037522</v>
      </c>
      <c r="I78" s="435">
        <f t="shared" si="11"/>
        <v>99268</v>
      </c>
      <c r="J78" s="490">
        <v>0.29899999999999999</v>
      </c>
      <c r="K78" s="580">
        <f t="shared" si="6"/>
        <v>186770413.98794812</v>
      </c>
      <c r="L78" s="580">
        <f t="shared" si="16"/>
        <v>209860000</v>
      </c>
      <c r="M78" s="576">
        <v>2172000000</v>
      </c>
      <c r="N78" s="38"/>
      <c r="O78">
        <v>74.7</v>
      </c>
      <c r="Q78" s="438">
        <v>553.15</v>
      </c>
      <c r="R78" s="438"/>
      <c r="S78" s="438"/>
      <c r="T78" s="468">
        <f t="shared" si="10"/>
        <v>0.82724252491694383</v>
      </c>
      <c r="U78" s="468">
        <f>'Benchmark Year Price'!F75</f>
        <v>342.89549138587614</v>
      </c>
      <c r="V78" s="432">
        <f t="shared" si="7"/>
        <v>544686.1177237432</v>
      </c>
      <c r="W78" s="549">
        <f t="shared" si="12"/>
        <v>295131.40468893957</v>
      </c>
      <c r="X78" s="549">
        <f t="shared" si="13"/>
        <v>2064</v>
      </c>
      <c r="Y78" s="432">
        <f t="shared" si="8"/>
        <v>20061969.582393255</v>
      </c>
      <c r="Z78" s="432"/>
      <c r="AA78" s="432">
        <f t="shared" si="9"/>
        <v>20044271.547636833</v>
      </c>
      <c r="AB78" s="438"/>
      <c r="AC78" s="438"/>
    </row>
    <row r="79" spans="2:29" x14ac:dyDescent="0.2">
      <c r="B79" s="18" t="s">
        <v>704</v>
      </c>
      <c r="C79" s="350">
        <v>1992</v>
      </c>
      <c r="D79" s="427">
        <f t="shared" si="14"/>
        <v>5805.3150216496024</v>
      </c>
      <c r="E79" s="427">
        <v>6523</v>
      </c>
      <c r="F79" s="427">
        <v>5775</v>
      </c>
      <c r="G79" s="427">
        <v>35300000</v>
      </c>
      <c r="H79" s="427">
        <f t="shared" si="15"/>
        <v>87965.251684784103</v>
      </c>
      <c r="I79" s="435">
        <f t="shared" si="11"/>
        <v>98840</v>
      </c>
      <c r="J79" s="492">
        <v>0.28000000000000003</v>
      </c>
      <c r="K79" s="580">
        <f t="shared" si="6"/>
        <v>60393787.730973795</v>
      </c>
      <c r="L79" s="580">
        <f t="shared" si="16"/>
        <v>67860000</v>
      </c>
      <c r="M79" s="576">
        <v>2229000000</v>
      </c>
      <c r="N79" s="38"/>
      <c r="O79">
        <v>76.2</v>
      </c>
      <c r="Q79" s="438">
        <v>572.41</v>
      </c>
      <c r="R79" s="112">
        <f t="shared" ref="R79:R88" si="17">LN(Q79/Q78)-LN(O79/O78)</f>
        <v>1.4344934795432234E-2</v>
      </c>
      <c r="S79" s="112"/>
      <c r="T79" s="468">
        <f t="shared" si="10"/>
        <v>0.84385382059800695</v>
      </c>
      <c r="U79" s="468">
        <f>'Benchmark Year Price'!F76</f>
        <v>345.56545784699756</v>
      </c>
      <c r="V79" s="432">
        <f t="shared" si="7"/>
        <v>174768.01097901899</v>
      </c>
      <c r="W79" s="549">
        <f t="shared" si="12"/>
        <v>97252.767705331426</v>
      </c>
      <c r="X79" s="549">
        <f t="shared" si="13"/>
        <v>2065</v>
      </c>
      <c r="Y79" s="432">
        <f t="shared" si="8"/>
        <v>19709284.207718026</v>
      </c>
      <c r="Z79" s="432"/>
      <c r="AA79" s="432">
        <f t="shared" si="9"/>
        <v>20061969.582393255</v>
      </c>
      <c r="AB79" s="438"/>
      <c r="AC79" s="438"/>
    </row>
    <row r="80" spans="2:29" x14ac:dyDescent="0.2">
      <c r="B80" s="18" t="s">
        <v>704</v>
      </c>
      <c r="C80" s="350">
        <v>1993</v>
      </c>
      <c r="D80" s="427">
        <f t="shared" si="14"/>
        <v>5805.3150216496024</v>
      </c>
      <c r="E80" s="427">
        <v>6523</v>
      </c>
      <c r="F80" s="427">
        <v>5775</v>
      </c>
      <c r="G80" s="427">
        <v>35700000</v>
      </c>
      <c r="H80" s="427">
        <f t="shared" si="15"/>
        <v>88008.860520605172</v>
      </c>
      <c r="I80" s="435">
        <f t="shared" si="11"/>
        <v>98889</v>
      </c>
      <c r="J80" s="490">
        <v>0.27700000000000002</v>
      </c>
      <c r="K80" s="580">
        <f t="shared" si="6"/>
        <v>118495886.64073837</v>
      </c>
      <c r="L80" s="580">
        <f t="shared" si="16"/>
        <v>133145000</v>
      </c>
      <c r="M80" s="576">
        <v>2351000000</v>
      </c>
      <c r="N80" s="38"/>
      <c r="O80">
        <v>77.599999999999994</v>
      </c>
      <c r="Q80" s="438">
        <v>582.87</v>
      </c>
      <c r="R80" s="112">
        <f t="shared" si="17"/>
        <v>-9.7305403622086062E-5</v>
      </c>
      <c r="S80" s="112"/>
      <c r="T80" s="468">
        <f t="shared" si="10"/>
        <v>0.85935769656699901</v>
      </c>
      <c r="U80" s="468">
        <f>'Benchmark Year Price'!F77</f>
        <v>355.30591278864244</v>
      </c>
      <c r="V80" s="432">
        <f t="shared" si="7"/>
        <v>333503.8409879402</v>
      </c>
      <c r="W80" s="549">
        <f t="shared" si="12"/>
        <v>190595.1188332458</v>
      </c>
      <c r="X80" s="549">
        <f t="shared" si="13"/>
        <v>2066</v>
      </c>
      <c r="Y80" s="432">
        <f t="shared" si="8"/>
        <v>19524607.187076796</v>
      </c>
      <c r="Z80" s="432"/>
      <c r="AA80" s="432">
        <f t="shared" si="9"/>
        <v>19709284.207718026</v>
      </c>
      <c r="AB80" s="438"/>
      <c r="AC80" s="438"/>
    </row>
    <row r="81" spans="2:29" x14ac:dyDescent="0.2">
      <c r="B81" s="18" t="s">
        <v>704</v>
      </c>
      <c r="C81" s="350">
        <v>1994</v>
      </c>
      <c r="D81" s="427">
        <f t="shared" si="14"/>
        <v>5825.7844751982675</v>
      </c>
      <c r="E81" s="427">
        <v>6546</v>
      </c>
      <c r="F81" s="427">
        <v>5781</v>
      </c>
      <c r="G81" s="427">
        <v>34700000</v>
      </c>
      <c r="H81" s="427">
        <f t="shared" si="15"/>
        <v>94808.279003726901</v>
      </c>
      <c r="I81" s="435">
        <f t="shared" si="11"/>
        <v>106529</v>
      </c>
      <c r="J81" s="490">
        <v>0.307</v>
      </c>
      <c r="K81" s="580">
        <f t="shared" si="6"/>
        <v>58520387.743150339</v>
      </c>
      <c r="L81" s="580">
        <f t="shared" si="16"/>
        <v>65755000</v>
      </c>
      <c r="M81" s="576">
        <v>2405000000</v>
      </c>
      <c r="N81" s="38"/>
      <c r="O81">
        <v>78.900000000000006</v>
      </c>
      <c r="Q81" s="438">
        <v>592.88</v>
      </c>
      <c r="R81" s="112">
        <f t="shared" si="17"/>
        <v>4.140400573164997E-4</v>
      </c>
      <c r="S81" s="112"/>
      <c r="T81" s="468">
        <f t="shared" si="10"/>
        <v>0.87375415282392055</v>
      </c>
      <c r="U81" s="468">
        <f>'Benchmark Year Price'!F78</f>
        <v>366.77895605240241</v>
      </c>
      <c r="V81" s="432">
        <f t="shared" si="7"/>
        <v>159552.19561394199</v>
      </c>
      <c r="W81" s="549">
        <f t="shared" si="12"/>
        <v>93645.007089706676</v>
      </c>
      <c r="X81" s="549">
        <f t="shared" si="13"/>
        <v>2067</v>
      </c>
      <c r="Y81" s="432">
        <f t="shared" si="8"/>
        <v>19170833.902752273</v>
      </c>
      <c r="Z81" s="432"/>
      <c r="AA81" s="432">
        <f t="shared" si="9"/>
        <v>19524607.187076796</v>
      </c>
      <c r="AB81" s="438"/>
      <c r="AC81" s="438"/>
    </row>
    <row r="82" spans="2:29" s="507" customFormat="1" x14ac:dyDescent="0.2">
      <c r="B82" s="507" t="s">
        <v>704</v>
      </c>
      <c r="C82" s="508">
        <v>1995</v>
      </c>
      <c r="D82" s="509">
        <f t="shared" si="14"/>
        <v>5840.9140712994549</v>
      </c>
      <c r="E82" s="509">
        <v>6563</v>
      </c>
      <c r="F82" s="509">
        <v>5783</v>
      </c>
      <c r="G82" s="509">
        <v>34400000</v>
      </c>
      <c r="H82" s="509">
        <f t="shared" si="15"/>
        <v>93376.307231561601</v>
      </c>
      <c r="I82" s="510">
        <f t="shared" si="11"/>
        <v>104920</v>
      </c>
      <c r="J82" s="508">
        <v>0.30499999999999999</v>
      </c>
      <c r="K82" s="597">
        <f t="shared" si="6"/>
        <v>105929422.11434063</v>
      </c>
      <c r="L82" s="597">
        <f t="shared" si="16"/>
        <v>119025000</v>
      </c>
      <c r="M82" s="512">
        <v>2512000000</v>
      </c>
      <c r="O82" s="507">
        <v>79.8</v>
      </c>
      <c r="Q82" s="514">
        <v>598.66999999999996</v>
      </c>
      <c r="R82" s="598">
        <f t="shared" si="17"/>
        <v>-1.6237661397730634E-3</v>
      </c>
      <c r="S82" s="598"/>
      <c r="T82" s="538">
        <f t="shared" si="10"/>
        <v>0.88372093023255838</v>
      </c>
      <c r="U82" s="538">
        <f>'Benchmark Year Price'!F79</f>
        <v>377.82091347501932</v>
      </c>
      <c r="V82" s="512">
        <f t="shared" si="7"/>
        <v>280369.3981364122</v>
      </c>
      <c r="W82" s="512">
        <f t="shared" si="12"/>
        <v>168998.69817133548</v>
      </c>
      <c r="X82" s="512">
        <f t="shared" si="13"/>
        <v>2068</v>
      </c>
      <c r="Y82" s="512">
        <f t="shared" si="8"/>
        <v>18947178.94743257</v>
      </c>
      <c r="Z82" s="512"/>
      <c r="AA82" s="512">
        <f t="shared" si="9"/>
        <v>19170833.902752273</v>
      </c>
      <c r="AB82" s="514"/>
      <c r="AC82" s="514"/>
    </row>
    <row r="83" spans="2:29" x14ac:dyDescent="0.2">
      <c r="B83" s="18" t="s">
        <v>704</v>
      </c>
      <c r="C83" s="350">
        <v>1996</v>
      </c>
      <c r="D83" s="450">
        <f t="shared" si="14"/>
        <v>5911.2221943579125</v>
      </c>
      <c r="E83" s="450">
        <v>6642</v>
      </c>
      <c r="F83" s="427">
        <v>5838</v>
      </c>
      <c r="G83" s="450">
        <v>36300000</v>
      </c>
      <c r="H83" s="427">
        <f t="shared" si="15"/>
        <v>100795.14917859074</v>
      </c>
      <c r="I83" s="435">
        <f t="shared" si="11"/>
        <v>113256</v>
      </c>
      <c r="J83" s="490">
        <v>0.312</v>
      </c>
      <c r="K83" s="580">
        <f t="shared" si="6"/>
        <v>41437293.792427644</v>
      </c>
      <c r="L83" s="580">
        <f t="shared" si="16"/>
        <v>46560000</v>
      </c>
      <c r="M83" s="576">
        <v>2546000000</v>
      </c>
      <c r="N83" s="38"/>
      <c r="O83">
        <v>80.8</v>
      </c>
      <c r="Q83" s="438">
        <v>611.01</v>
      </c>
      <c r="R83" s="112">
        <f t="shared" si="17"/>
        <v>7.9493364712236777E-3</v>
      </c>
      <c r="S83" s="112"/>
      <c r="T83" s="468">
        <f t="shared" si="10"/>
        <v>0.89479512735326705</v>
      </c>
      <c r="U83" s="468">
        <f>'Benchmark Year Price'!F80</f>
        <v>388.02939499125745</v>
      </c>
      <c r="V83" s="432">
        <f t="shared" si="7"/>
        <v>106789.05857985644</v>
      </c>
      <c r="W83" s="549">
        <f t="shared" si="12"/>
        <v>66107.451591333142</v>
      </c>
      <c r="X83" s="549">
        <f t="shared" si="13"/>
        <v>2069</v>
      </c>
      <c r="Y83" s="432">
        <f t="shared" si="8"/>
        <v>18555823.81117769</v>
      </c>
      <c r="Z83" s="432"/>
      <c r="AA83" s="432">
        <f t="shared" si="9"/>
        <v>18947178.94743257</v>
      </c>
      <c r="AB83" s="438"/>
      <c r="AC83" s="438"/>
    </row>
    <row r="84" spans="2:29" s="38" customFormat="1" x14ac:dyDescent="0.2">
      <c r="B84" s="472" t="s">
        <v>704</v>
      </c>
      <c r="C84" s="350">
        <v>1997</v>
      </c>
      <c r="D84" s="497">
        <f t="shared" si="14"/>
        <v>5932.5816241478233</v>
      </c>
      <c r="E84" s="497">
        <v>6666</v>
      </c>
      <c r="F84" s="427">
        <v>5838</v>
      </c>
      <c r="G84" s="497">
        <v>35200000</v>
      </c>
      <c r="J84" s="498"/>
      <c r="K84" s="580">
        <f t="shared" si="6"/>
        <v>168855192.25166014</v>
      </c>
      <c r="L84" s="580">
        <f t="shared" si="16"/>
        <v>189730000</v>
      </c>
      <c r="M84" s="439">
        <v>2723000000</v>
      </c>
      <c r="N84" s="439"/>
      <c r="O84" s="38">
        <v>82</v>
      </c>
      <c r="Q84" s="436">
        <v>623.42999999999995</v>
      </c>
      <c r="R84" s="112">
        <f t="shared" si="17"/>
        <v>5.3808819837544205E-3</v>
      </c>
      <c r="S84" s="112"/>
      <c r="T84" s="468">
        <f t="shared" si="10"/>
        <v>0.90808416389811752</v>
      </c>
      <c r="U84" s="475">
        <f>'Benchmark Year Price'!F81</f>
        <v>396.24501360342583</v>
      </c>
      <c r="V84" s="437">
        <f t="shared" si="7"/>
        <v>426138.33980168542</v>
      </c>
      <c r="W84" s="549">
        <f t="shared" si="12"/>
        <v>270922.56282008457</v>
      </c>
      <c r="X84" s="549">
        <f t="shared" si="13"/>
        <v>2070</v>
      </c>
      <c r="Y84" s="437">
        <f t="shared" si="8"/>
        <v>18494107.154857811</v>
      </c>
      <c r="Z84" s="437"/>
      <c r="AA84" s="437">
        <f t="shared" si="9"/>
        <v>18555823.81117769</v>
      </c>
      <c r="AB84" s="436"/>
      <c r="AC84" s="436"/>
    </row>
    <row r="85" spans="2:29" s="38" customFormat="1" x14ac:dyDescent="0.2">
      <c r="B85" s="472" t="s">
        <v>704</v>
      </c>
      <c r="C85" s="350">
        <v>1998</v>
      </c>
      <c r="D85" s="497">
        <f t="shared" si="14"/>
        <v>5978.8603886926312</v>
      </c>
      <c r="E85" s="497">
        <v>6718</v>
      </c>
      <c r="F85" s="427">
        <v>5838</v>
      </c>
      <c r="G85" s="497">
        <v>31200000</v>
      </c>
      <c r="J85" s="350"/>
      <c r="K85" s="580">
        <f t="shared" si="6"/>
        <v>40596266.244449891</v>
      </c>
      <c r="L85" s="580">
        <f t="shared" si="16"/>
        <v>45615000</v>
      </c>
      <c r="M85" s="439">
        <v>2755000000</v>
      </c>
      <c r="N85" s="439"/>
      <c r="O85" s="38">
        <v>83.2</v>
      </c>
      <c r="Q85" s="436">
        <v>632.72</v>
      </c>
      <c r="R85" s="112">
        <f t="shared" si="17"/>
        <v>2.6339627751910226E-4</v>
      </c>
      <c r="S85" s="112"/>
      <c r="T85" s="468">
        <f t="shared" si="10"/>
        <v>0.921373200442968</v>
      </c>
      <c r="U85" s="475">
        <f>'Benchmark Year Price'!F82</f>
        <v>398.75057467206932</v>
      </c>
      <c r="V85" s="437">
        <f t="shared" si="7"/>
        <v>101808.67144288401</v>
      </c>
      <c r="W85" s="549">
        <f t="shared" si="12"/>
        <v>66473.759834245167</v>
      </c>
      <c r="X85" s="549">
        <f t="shared" si="13"/>
        <v>2071</v>
      </c>
      <c r="Y85" s="437">
        <f>Y84*(1-$G$116)+(K85/U85)</f>
        <v>18109683.435536671</v>
      </c>
      <c r="Z85" s="437"/>
      <c r="AA85" s="437">
        <f t="shared" si="9"/>
        <v>18494107.154857811</v>
      </c>
      <c r="AB85" s="436"/>
      <c r="AC85" s="436"/>
    </row>
    <row r="86" spans="2:29" s="38" customFormat="1" x14ac:dyDescent="0.2">
      <c r="B86" s="472" t="s">
        <v>31</v>
      </c>
      <c r="C86" s="350">
        <v>1999</v>
      </c>
      <c r="D86" s="497">
        <f t="shared" si="14"/>
        <v>6018.9093195487139</v>
      </c>
      <c r="E86" s="497">
        <v>6763</v>
      </c>
      <c r="F86" s="427">
        <v>5838</v>
      </c>
      <c r="G86" s="497">
        <v>33100000</v>
      </c>
      <c r="J86" s="350"/>
      <c r="K86" s="566">
        <f t="shared" si="6"/>
        <v>59213085.917587042</v>
      </c>
      <c r="L86" s="566">
        <f>49900000*12/9</f>
        <v>66533333.333333336</v>
      </c>
      <c r="M86" s="439">
        <v>7266400000</v>
      </c>
      <c r="O86" s="38">
        <v>84.3</v>
      </c>
      <c r="Q86" s="436">
        <v>640.47</v>
      </c>
      <c r="R86" s="112">
        <f t="shared" si="17"/>
        <v>-9.6022155946619281E-4</v>
      </c>
      <c r="S86" s="112"/>
      <c r="T86" s="468">
        <f t="shared" si="10"/>
        <v>0.93355481727574752</v>
      </c>
      <c r="U86" s="475">
        <f>'Benchmark Year Price'!F83</f>
        <v>409.47885562445003</v>
      </c>
      <c r="V86" s="437">
        <f t="shared" si="7"/>
        <v>144605.96708293483</v>
      </c>
      <c r="W86" s="549">
        <f t="shared" si="12"/>
        <v>96966.695504680305</v>
      </c>
      <c r="X86" s="549">
        <f t="shared" si="13"/>
        <v>2072</v>
      </c>
      <c r="Y86" s="437">
        <f t="shared" si="8"/>
        <v>17778163.975254614</v>
      </c>
      <c r="Z86" s="437"/>
      <c r="AA86" s="437">
        <f t="shared" si="9"/>
        <v>18109683.435536671</v>
      </c>
      <c r="AB86" s="436"/>
      <c r="AC86" s="436"/>
    </row>
    <row r="87" spans="2:29" s="38" customFormat="1" x14ac:dyDescent="0.2">
      <c r="B87" s="472" t="s">
        <v>31</v>
      </c>
      <c r="C87" s="350">
        <v>2000</v>
      </c>
      <c r="D87" s="497">
        <f t="shared" si="14"/>
        <v>6063.4081316110296</v>
      </c>
      <c r="E87" s="497">
        <v>6813</v>
      </c>
      <c r="F87" s="427">
        <v>5838</v>
      </c>
      <c r="G87" s="497">
        <v>34100000</v>
      </c>
      <c r="J87" s="350"/>
      <c r="K87" s="566">
        <f t="shared" si="6"/>
        <v>58738431.92225568</v>
      </c>
      <c r="L87" s="566">
        <v>66000000</v>
      </c>
      <c r="M87" s="439">
        <v>7332900000</v>
      </c>
      <c r="O87" s="38">
        <v>86.5</v>
      </c>
      <c r="Q87" s="436">
        <v>655.55</v>
      </c>
      <c r="R87" s="112">
        <f t="shared" si="17"/>
        <v>-2.4902528169556057E-3</v>
      </c>
      <c r="S87" s="112"/>
      <c r="T87" s="468">
        <f t="shared" si="10"/>
        <v>0.95791805094130678</v>
      </c>
      <c r="U87" s="475">
        <f>'Benchmark Year Price'!F84</f>
        <v>430.15673106929069</v>
      </c>
      <c r="V87" s="437">
        <f t="shared" si="7"/>
        <v>136551.23279424856</v>
      </c>
      <c r="W87" s="549">
        <f t="shared" si="12"/>
        <v>94037.898383581647</v>
      </c>
      <c r="X87" s="549">
        <f t="shared" si="13"/>
        <v>2073</v>
      </c>
      <c r="Y87" s="437">
        <f t="shared" si="8"/>
        <v>17447305.82728228</v>
      </c>
      <c r="Z87" s="437"/>
      <c r="AA87" s="437">
        <f t="shared" si="9"/>
        <v>17778163.975254614</v>
      </c>
      <c r="AB87" s="436"/>
      <c r="AC87" s="436"/>
    </row>
    <row r="88" spans="2:29" x14ac:dyDescent="0.2">
      <c r="B88" s="18" t="s">
        <v>31</v>
      </c>
      <c r="C88" s="350">
        <v>2001</v>
      </c>
      <c r="D88" s="497">
        <f t="shared" si="14"/>
        <v>6110.5768723970832</v>
      </c>
      <c r="E88" s="450">
        <v>6866</v>
      </c>
      <c r="F88" s="427">
        <v>5838</v>
      </c>
      <c r="G88" s="450">
        <v>33100000</v>
      </c>
      <c r="J88" s="490"/>
      <c r="K88" s="566">
        <f t="shared" si="6"/>
        <v>53843562.595401041</v>
      </c>
      <c r="L88" s="566">
        <v>60500000</v>
      </c>
      <c r="M88" s="439">
        <v>7393900000</v>
      </c>
      <c r="N88" s="439"/>
      <c r="O88">
        <v>88.2</v>
      </c>
      <c r="Q88" s="438">
        <v>656.74</v>
      </c>
      <c r="R88" s="112">
        <f t="shared" si="17"/>
        <v>-1.7648925064697528E-2</v>
      </c>
      <c r="S88" s="112"/>
      <c r="T88" s="468">
        <f>T89*O88/O89</f>
        <v>0.9767441860465117</v>
      </c>
      <c r="U88" s="468">
        <f>'Benchmark Year Price'!F85</f>
        <v>436.38514478868342</v>
      </c>
      <c r="V88" s="432">
        <f t="shared" si="7"/>
        <v>123385.41592994516</v>
      </c>
      <c r="W88" s="549">
        <f t="shared" si="12"/>
        <v>87265.388540225584</v>
      </c>
      <c r="X88" s="549">
        <f t="shared" si="13"/>
        <v>2074</v>
      </c>
      <c r="Y88" s="432">
        <f t="shared" si="8"/>
        <v>17111980.522345535</v>
      </c>
      <c r="Z88" s="432"/>
      <c r="AA88" s="432">
        <f t="shared" si="9"/>
        <v>17447305.82728228</v>
      </c>
      <c r="AB88" s="438"/>
      <c r="AC88" s="438"/>
    </row>
    <row r="89" spans="2:29" s="507" customFormat="1" x14ac:dyDescent="0.2">
      <c r="B89" s="507" t="s">
        <v>31</v>
      </c>
      <c r="C89" s="508">
        <v>2002</v>
      </c>
      <c r="D89" s="512">
        <f t="shared" ref="D89:D96" si="18">E89*$G$133</f>
        <v>6383.5099999999984</v>
      </c>
      <c r="E89" s="512">
        <v>6898.5099999999984</v>
      </c>
      <c r="F89" s="509">
        <v>5838</v>
      </c>
      <c r="G89" s="512">
        <v>33900000</v>
      </c>
      <c r="H89" s="512">
        <f>I89*$G$133</f>
        <v>109088.24897132859</v>
      </c>
      <c r="I89" s="512">
        <v>117889.12</v>
      </c>
      <c r="J89" s="513">
        <f t="shared" ref="J89:J101" si="19">100*H89/G89</f>
        <v>0.32179424475318169</v>
      </c>
      <c r="K89" s="509">
        <f t="shared" ref="K89:K97" si="20">$G$133*L89</f>
        <v>84761711.73195371</v>
      </c>
      <c r="L89" s="509">
        <v>91600000</v>
      </c>
      <c r="M89" s="509">
        <v>7494400000</v>
      </c>
      <c r="N89" s="509">
        <v>443500000</v>
      </c>
      <c r="O89" s="514">
        <v>90.3</v>
      </c>
      <c r="P89" s="514"/>
      <c r="Q89" s="514">
        <f>'Can O&amp;M price indexes'!C15</f>
        <v>710.87</v>
      </c>
      <c r="R89" s="553">
        <f>AVERAGE(R79:R88)</f>
        <v>5.5321186007314602E-4</v>
      </c>
      <c r="S89" s="112"/>
      <c r="T89" s="538">
        <f>'Table 1'!F9</f>
        <v>1</v>
      </c>
      <c r="U89" s="538">
        <f>'Benchmark Year Price'!F86</f>
        <v>444.51551618786721</v>
      </c>
      <c r="V89" s="512">
        <f t="shared" si="7"/>
        <v>190683.35894968075</v>
      </c>
      <c r="W89" s="549">
        <f t="shared" si="12"/>
        <v>138503.86691484944</v>
      </c>
      <c r="X89" s="549">
        <f t="shared" si="13"/>
        <v>2075</v>
      </c>
      <c r="Y89" s="512">
        <f t="shared" si="8"/>
        <v>16852769.267274771</v>
      </c>
      <c r="Z89" s="512"/>
      <c r="AA89" s="512">
        <f t="shared" si="9"/>
        <v>17111980.522345535</v>
      </c>
      <c r="AB89" s="514"/>
      <c r="AC89" s="514"/>
    </row>
    <row r="90" spans="2:29" x14ac:dyDescent="0.2">
      <c r="B90" s="18" t="s">
        <v>31</v>
      </c>
      <c r="C90" s="490">
        <v>2003</v>
      </c>
      <c r="D90" s="432">
        <f t="shared" si="18"/>
        <v>6408.957020443544</v>
      </c>
      <c r="E90" s="432">
        <v>6926.0099999999984</v>
      </c>
      <c r="F90" s="427">
        <v>5838</v>
      </c>
      <c r="G90" s="432">
        <v>33100000</v>
      </c>
      <c r="H90" s="437">
        <f t="shared" ref="H90:H96" si="21">I90*$G$133</f>
        <v>120944.82453929978</v>
      </c>
      <c r="I90" s="437">
        <v>130702.24399</v>
      </c>
      <c r="J90" s="495">
        <f t="shared" si="19"/>
        <v>0.36539221915196307</v>
      </c>
      <c r="K90" s="439">
        <f t="shared" si="20"/>
        <v>36366105.579320751</v>
      </c>
      <c r="L90" s="439">
        <v>39300000</v>
      </c>
      <c r="M90" s="427"/>
      <c r="O90" s="436">
        <v>91.7</v>
      </c>
      <c r="P90" s="436"/>
      <c r="Q90" s="436"/>
      <c r="R90" s="554" t="s">
        <v>762</v>
      </c>
      <c r="S90" s="436"/>
      <c r="T90" s="475">
        <f>'Table 1'!F10</f>
        <v>1.0216477671655084</v>
      </c>
      <c r="U90" s="475">
        <f>'Benchmark Year Price'!F87</f>
        <v>461.27109447466319</v>
      </c>
      <c r="V90" s="432">
        <f t="shared" si="7"/>
        <v>78838.899759668944</v>
      </c>
      <c r="W90" s="549">
        <f t="shared" si="12"/>
        <v>58811.271356081306</v>
      </c>
      <c r="X90" s="549">
        <f t="shared" si="13"/>
        <v>2076</v>
      </c>
      <c r="Y90" s="432">
        <f t="shared" si="8"/>
        <v>16488528.529655509</v>
      </c>
      <c r="Z90" s="432"/>
      <c r="AA90" s="432">
        <f t="shared" si="9"/>
        <v>16852769.267274771</v>
      </c>
      <c r="AB90" s="436"/>
      <c r="AC90" s="436"/>
    </row>
    <row r="91" spans="2:29" x14ac:dyDescent="0.2">
      <c r="B91" s="18" t="s">
        <v>31</v>
      </c>
      <c r="C91" s="490">
        <v>2004</v>
      </c>
      <c r="D91" s="432">
        <f t="shared" si="18"/>
        <v>6438.5680987778505</v>
      </c>
      <c r="E91" s="432">
        <v>6958.0099999999984</v>
      </c>
      <c r="F91" s="432">
        <v>5838</v>
      </c>
      <c r="G91" s="432">
        <v>35300000</v>
      </c>
      <c r="H91" s="437">
        <f t="shared" si="21"/>
        <v>122341.0606883751</v>
      </c>
      <c r="I91" s="437">
        <v>132211.12375</v>
      </c>
      <c r="J91" s="495">
        <f t="shared" si="19"/>
        <v>0.34657524274327223</v>
      </c>
      <c r="K91" s="439">
        <f t="shared" si="20"/>
        <v>111226612.99324057</v>
      </c>
      <c r="L91" s="439">
        <v>120200000</v>
      </c>
      <c r="M91" s="427"/>
      <c r="O91" s="436">
        <v>93.4</v>
      </c>
      <c r="P91" s="436"/>
      <c r="Q91" s="436"/>
      <c r="R91" s="436"/>
      <c r="S91" s="436"/>
      <c r="T91" s="475">
        <f>'Table 1'!F11</f>
        <v>1.046469360323721</v>
      </c>
      <c r="U91" s="475">
        <f>'Benchmark Year Price'!F88</f>
        <v>482.9803033336969</v>
      </c>
      <c r="V91" s="432">
        <f t="shared" si="7"/>
        <v>230292.23391826966</v>
      </c>
      <c r="W91" s="549">
        <f t="shared" si="12"/>
        <v>176429.09791834932</v>
      </c>
      <c r="X91" s="549">
        <f t="shared" si="13"/>
        <v>2077</v>
      </c>
      <c r="Y91" s="432">
        <f t="shared" si="8"/>
        <v>16285317.454653598</v>
      </c>
      <c r="Z91" s="432"/>
      <c r="AA91" s="432">
        <f t="shared" si="9"/>
        <v>16488528.529655509</v>
      </c>
      <c r="AB91" s="436"/>
      <c r="AC91" s="436"/>
    </row>
    <row r="92" spans="2:29" x14ac:dyDescent="0.2">
      <c r="B92" s="18" t="s">
        <v>31</v>
      </c>
      <c r="C92" s="490">
        <v>2005</v>
      </c>
      <c r="D92" s="432">
        <f t="shared" si="18"/>
        <v>6406.7361895684708</v>
      </c>
      <c r="E92" s="432">
        <v>6923.6099999999988</v>
      </c>
      <c r="F92" s="432">
        <v>5787</v>
      </c>
      <c r="G92" s="432">
        <v>33400000</v>
      </c>
      <c r="H92" s="437">
        <f t="shared" si="21"/>
        <v>131758.62706965208</v>
      </c>
      <c r="I92" s="437">
        <v>142388.46754000001</v>
      </c>
      <c r="J92" s="495">
        <f t="shared" si="19"/>
        <v>0.39448690739416792</v>
      </c>
      <c r="K92" s="439">
        <f t="shared" si="20"/>
        <v>53670079.480931394</v>
      </c>
      <c r="L92" s="439">
        <v>58000000</v>
      </c>
      <c r="M92" s="427"/>
      <c r="O92" s="436">
        <v>95.4</v>
      </c>
      <c r="P92" s="436"/>
      <c r="Q92" s="436"/>
      <c r="R92" s="436"/>
      <c r="S92" s="436"/>
      <c r="T92" s="475">
        <f>'Table 1'!F12</f>
        <v>1.0786967724726459</v>
      </c>
      <c r="U92" s="475">
        <f>'Benchmark Year Price'!F89</f>
        <v>501.64965580078785</v>
      </c>
      <c r="V92" s="432">
        <f t="shared" si="7"/>
        <v>106987.17493438197</v>
      </c>
      <c r="W92" s="549">
        <f t="shared" si="12"/>
        <v>84177.020337124923</v>
      </c>
      <c r="X92" s="549">
        <f t="shared" si="13"/>
        <v>2078</v>
      </c>
      <c r="Y92" s="432">
        <f t="shared" si="8"/>
        <v>15964143.985009504</v>
      </c>
      <c r="Z92" s="432"/>
      <c r="AA92" s="432">
        <f t="shared" si="9"/>
        <v>16285317.454653598</v>
      </c>
      <c r="AB92" s="436"/>
      <c r="AC92" s="436"/>
    </row>
    <row r="93" spans="2:29" x14ac:dyDescent="0.2">
      <c r="B93" s="18" t="s">
        <v>31</v>
      </c>
      <c r="C93" s="490">
        <v>2006</v>
      </c>
      <c r="D93" s="437">
        <f t="shared" si="18"/>
        <v>6450.5975993511629</v>
      </c>
      <c r="E93" s="437">
        <v>6971.0099999999984</v>
      </c>
      <c r="F93" s="437">
        <v>5787</v>
      </c>
      <c r="G93" s="432">
        <v>34200000</v>
      </c>
      <c r="H93" s="437">
        <f t="shared" si="21"/>
        <v>144914.69335126973</v>
      </c>
      <c r="I93" s="437">
        <v>156605.92076000001</v>
      </c>
      <c r="J93" s="495">
        <f t="shared" si="19"/>
        <v>0.4237271735417244</v>
      </c>
      <c r="K93" s="439">
        <f t="shared" si="20"/>
        <v>51264179.366268948</v>
      </c>
      <c r="L93" s="439">
        <v>55400000</v>
      </c>
      <c r="M93" s="427"/>
      <c r="O93" s="436">
        <v>97.6</v>
      </c>
      <c r="P93" s="436"/>
      <c r="Q93" s="436"/>
      <c r="R93" s="436"/>
      <c r="S93" s="436"/>
      <c r="T93" s="475">
        <f>'Table 1'!F13</f>
        <v>1.099250227385117</v>
      </c>
      <c r="U93" s="475">
        <f>'Benchmark Year Price'!F90</f>
        <v>521.41055483399225</v>
      </c>
      <c r="V93" s="432">
        <f t="shared" si="7"/>
        <v>98318.261667316154</v>
      </c>
      <c r="W93" s="549">
        <f t="shared" si="12"/>
        <v>79445.065620980677</v>
      </c>
      <c r="X93" s="549">
        <f t="shared" si="13"/>
        <v>2079</v>
      </c>
      <c r="Y93" s="432">
        <f t="shared" si="8"/>
        <v>15642745.640120154</v>
      </c>
      <c r="Z93" s="432"/>
      <c r="AA93" s="432">
        <f t="shared" si="9"/>
        <v>15964143.985009504</v>
      </c>
      <c r="AB93" s="436"/>
      <c r="AC93" s="436"/>
    </row>
    <row r="94" spans="2:29" x14ac:dyDescent="0.2">
      <c r="B94" s="18" t="s">
        <v>31</v>
      </c>
      <c r="C94" s="490">
        <v>2007</v>
      </c>
      <c r="D94" s="437">
        <f t="shared" si="18"/>
        <v>6450.4125301115737</v>
      </c>
      <c r="E94" s="437">
        <v>6970.8099999999986</v>
      </c>
      <c r="F94" s="437">
        <v>5787</v>
      </c>
      <c r="G94" s="432">
        <v>32900000</v>
      </c>
      <c r="H94" s="437">
        <f t="shared" si="21"/>
        <v>152639.65153788275</v>
      </c>
      <c r="I94" s="437">
        <v>164954.10245000001</v>
      </c>
      <c r="J94" s="495">
        <f t="shared" si="19"/>
        <v>0.4639503086257834</v>
      </c>
      <c r="K94" s="439">
        <f t="shared" si="20"/>
        <v>77266407.52858226</v>
      </c>
      <c r="L94" s="439">
        <v>83500000</v>
      </c>
      <c r="M94" s="427"/>
      <c r="O94" s="436">
        <v>100</v>
      </c>
      <c r="P94" s="436"/>
      <c r="Q94" s="436"/>
      <c r="R94" s="436"/>
      <c r="S94" s="436"/>
      <c r="T94" s="475">
        <f>'Table 1'!F14</f>
        <v>1.1354504219317154</v>
      </c>
      <c r="U94" s="475">
        <f>'Benchmark Year Price'!F91</f>
        <v>553.70508034527188</v>
      </c>
      <c r="V94" s="432">
        <f t="shared" si="7"/>
        <v>139544.33555206234</v>
      </c>
      <c r="W94" s="549">
        <f t="shared" si="12"/>
        <v>115801.94578593253</v>
      </c>
      <c r="X94" s="549">
        <f t="shared" si="13"/>
        <v>2080</v>
      </c>
      <c r="Y94" s="432">
        <f t="shared" si="8"/>
        <v>15371023.319378875</v>
      </c>
      <c r="Z94" s="432"/>
      <c r="AA94" s="432">
        <f t="shared" si="9"/>
        <v>15642745.640120154</v>
      </c>
      <c r="AB94" s="436"/>
      <c r="AC94" s="436"/>
    </row>
    <row r="95" spans="2:29" x14ac:dyDescent="0.2">
      <c r="B95" s="18" t="s">
        <v>31</v>
      </c>
      <c r="C95" s="490">
        <v>2008</v>
      </c>
      <c r="D95" s="437">
        <f t="shared" si="18"/>
        <v>6476.6460948233753</v>
      </c>
      <c r="E95" s="437">
        <v>6999.16</v>
      </c>
      <c r="F95" s="437">
        <v>5838</v>
      </c>
      <c r="G95" s="432">
        <v>37400000</v>
      </c>
      <c r="H95" s="437">
        <f t="shared" si="21"/>
        <v>171873.27697871608</v>
      </c>
      <c r="I95" s="437">
        <v>185739.43175000002</v>
      </c>
      <c r="J95" s="495">
        <f t="shared" si="19"/>
        <v>0.45955421652063122</v>
      </c>
      <c r="K95" s="439">
        <f t="shared" si="20"/>
        <v>53114871.762163132</v>
      </c>
      <c r="L95" s="439">
        <v>57400000</v>
      </c>
      <c r="M95" s="427"/>
      <c r="O95" s="436">
        <v>102.5</v>
      </c>
      <c r="P95" s="436"/>
      <c r="Q95" s="436"/>
      <c r="R95" s="436"/>
      <c r="S95" s="436"/>
      <c r="T95" s="475">
        <f>'Table 1'!F15</f>
        <v>1.1628231376944895</v>
      </c>
      <c r="U95" s="475">
        <f>'Benchmark Year Price'!F92</f>
        <v>594.65453627498891</v>
      </c>
      <c r="V95" s="432">
        <f t="shared" si="7"/>
        <v>89320.552559614167</v>
      </c>
      <c r="W95" s="549">
        <f t="shared" si="12"/>
        <v>76124.763016076467</v>
      </c>
      <c r="X95" s="549">
        <f t="shared" si="13"/>
        <v>2081</v>
      </c>
      <c r="Y95" s="432">
        <f t="shared" si="8"/>
        <v>15056221.123298092</v>
      </c>
      <c r="Z95" s="432"/>
      <c r="AA95" s="432">
        <f t="shared" si="9"/>
        <v>15371023.319378875</v>
      </c>
      <c r="AB95" s="436"/>
      <c r="AC95" s="436"/>
    </row>
    <row r="96" spans="2:29" x14ac:dyDescent="0.2">
      <c r="B96" s="18" t="s">
        <v>31</v>
      </c>
      <c r="C96" s="490">
        <v>2009</v>
      </c>
      <c r="D96" s="437">
        <f t="shared" si="18"/>
        <v>6389.7218490268178</v>
      </c>
      <c r="E96" s="437">
        <v>6905.222999999999</v>
      </c>
      <c r="F96" s="437">
        <v>5725</v>
      </c>
      <c r="G96" s="432">
        <v>36300000</v>
      </c>
      <c r="H96" s="437">
        <f t="shared" si="21"/>
        <v>171278.64600485316</v>
      </c>
      <c r="I96" s="437">
        <v>185096.82796</v>
      </c>
      <c r="J96" s="495">
        <f t="shared" si="19"/>
        <v>0.47184200001336962</v>
      </c>
      <c r="K96" s="439">
        <f t="shared" si="20"/>
        <v>89851115.820662722</v>
      </c>
      <c r="L96" s="439">
        <v>97100000</v>
      </c>
      <c r="M96" s="427"/>
      <c r="O96" s="436">
        <v>103.7</v>
      </c>
      <c r="P96" s="436"/>
      <c r="Q96" s="436"/>
      <c r="R96" s="436"/>
      <c r="S96" s="436"/>
      <c r="T96" s="475">
        <f>'Table 1'!F16</f>
        <v>1.177420350781766</v>
      </c>
      <c r="U96" s="475">
        <f>'Benchmark Year Price'!F93</f>
        <v>575.19033724568874</v>
      </c>
      <c r="V96" s="432">
        <f t="shared" si="7"/>
        <v>156211.10092168223</v>
      </c>
      <c r="W96" s="549">
        <f t="shared" si="12"/>
        <v>136727.96614851805</v>
      </c>
      <c r="X96" s="549">
        <f t="shared" si="13"/>
        <v>2082</v>
      </c>
      <c r="Y96" s="432">
        <f t="shared" si="8"/>
        <v>14816586.005132087</v>
      </c>
      <c r="Z96" s="432"/>
      <c r="AA96" s="432">
        <f t="shared" si="9"/>
        <v>15056221.123298092</v>
      </c>
      <c r="AB96" s="436"/>
      <c r="AC96" s="436"/>
    </row>
    <row r="97" spans="2:35" s="59" customFormat="1" x14ac:dyDescent="0.2">
      <c r="B97" s="581" t="s">
        <v>31</v>
      </c>
      <c r="C97" s="570">
        <v>2010</v>
      </c>
      <c r="D97" s="582">
        <f>E97*$G$133</f>
        <v>6390.0429441575052</v>
      </c>
      <c r="E97" s="582">
        <v>6905.5699999999988</v>
      </c>
      <c r="F97" s="582">
        <v>5713</v>
      </c>
      <c r="G97" s="583">
        <v>30500000</v>
      </c>
      <c r="H97" s="582">
        <f>I97*$G$133</f>
        <v>170905.07032024057</v>
      </c>
      <c r="I97" s="582">
        <v>184693.11345245526</v>
      </c>
      <c r="J97" s="584">
        <f t="shared" si="19"/>
        <v>0.56034449285324772</v>
      </c>
      <c r="K97" s="585">
        <f t="shared" si="20"/>
        <v>126679894.49895702</v>
      </c>
      <c r="L97" s="585">
        <v>136900000</v>
      </c>
      <c r="M97" s="586"/>
      <c r="O97" s="587">
        <v>104.8</v>
      </c>
      <c r="P97" s="587"/>
      <c r="Q97" s="587"/>
      <c r="R97" s="587"/>
      <c r="S97" s="587"/>
      <c r="T97" s="588">
        <f>'Table 1'!F17</f>
        <v>1.2104167536102524</v>
      </c>
      <c r="U97" s="588">
        <f>'Benchmark Year Price'!F94</f>
        <v>596.45766168495584</v>
      </c>
      <c r="V97" s="583">
        <f t="shared" si="7"/>
        <v>212387.06891800868</v>
      </c>
      <c r="W97" s="589">
        <f t="shared" si="12"/>
        <v>190916.92895629728</v>
      </c>
      <c r="X97" s="589">
        <f t="shared" si="13"/>
        <v>2083</v>
      </c>
      <c r="Y97" s="583">
        <f t="shared" si="8"/>
        <v>14639427.151345531</v>
      </c>
      <c r="Z97" s="583"/>
      <c r="AA97" s="583">
        <f t="shared" si="9"/>
        <v>14816586.005132087</v>
      </c>
      <c r="AB97" s="587"/>
      <c r="AC97" s="587"/>
    </row>
    <row r="98" spans="2:35" x14ac:dyDescent="0.2">
      <c r="B98" s="18" t="s">
        <v>31</v>
      </c>
      <c r="C98" s="490">
        <v>2011</v>
      </c>
      <c r="D98" s="437">
        <v>6422</v>
      </c>
      <c r="E98" s="437">
        <v>6422</v>
      </c>
      <c r="F98" s="437">
        <v>5284</v>
      </c>
      <c r="G98" s="432">
        <v>31300000</v>
      </c>
      <c r="H98" s="437">
        <f>I98</f>
        <v>174610.63867432124</v>
      </c>
      <c r="I98" s="437">
        <v>174610.63867432124</v>
      </c>
      <c r="J98" s="495">
        <f t="shared" si="19"/>
        <v>0.55786146541316695</v>
      </c>
      <c r="K98" s="439">
        <v>134600000</v>
      </c>
      <c r="L98" s="439">
        <v>134600000</v>
      </c>
      <c r="M98" s="427"/>
      <c r="O98" s="436">
        <v>107.3</v>
      </c>
      <c r="P98" s="436"/>
      <c r="Q98" s="436"/>
      <c r="R98" s="436"/>
      <c r="S98" s="436"/>
      <c r="T98" s="475">
        <f>'Table 1'!F18</f>
        <v>1.2315008058407915</v>
      </c>
      <c r="U98" s="475">
        <f>'Benchmark Year Price'!F95</f>
        <v>622.32193486427934</v>
      </c>
      <c r="V98" s="432">
        <f t="shared" si="7"/>
        <v>216286.76808468046</v>
      </c>
      <c r="W98" s="549">
        <f t="shared" si="12"/>
        <v>199672.02730592835</v>
      </c>
      <c r="X98" s="549">
        <f t="shared" si="13"/>
        <v>2084</v>
      </c>
      <c r="Y98" s="432">
        <f t="shared" si="8"/>
        <v>14470825.716738857</v>
      </c>
      <c r="Z98" s="432"/>
      <c r="AA98" s="432">
        <f t="shared" si="9"/>
        <v>14639427.151345531</v>
      </c>
      <c r="AB98" s="436"/>
      <c r="AC98" s="436"/>
    </row>
    <row r="99" spans="2:35" x14ac:dyDescent="0.2">
      <c r="B99" s="18" t="s">
        <v>31</v>
      </c>
      <c r="C99" s="490">
        <v>2012</v>
      </c>
      <c r="D99" s="437">
        <v>6422</v>
      </c>
      <c r="E99" s="437">
        <v>6422</v>
      </c>
      <c r="F99" s="437">
        <v>5284</v>
      </c>
      <c r="G99" s="432">
        <v>29500000</v>
      </c>
      <c r="H99" s="437">
        <f t="shared" ref="H99:H101" si="22">I99</f>
        <v>178134.19656786445</v>
      </c>
      <c r="I99" s="437">
        <v>178134.19656786445</v>
      </c>
      <c r="J99" s="495">
        <f t="shared" si="19"/>
        <v>0.60384473412835404</v>
      </c>
      <c r="K99" s="439">
        <v>59900000</v>
      </c>
      <c r="L99" s="439">
        <v>59900000</v>
      </c>
      <c r="M99" s="427"/>
      <c r="O99" s="436">
        <v>109.1</v>
      </c>
      <c r="P99" s="436"/>
      <c r="Q99" s="436"/>
      <c r="R99" s="436"/>
      <c r="S99" s="436"/>
      <c r="T99" s="475">
        <f>'Table 1'!F19</f>
        <v>1.2501652753742629</v>
      </c>
      <c r="U99" s="475">
        <f>'Benchmark Year Price'!F96</f>
        <v>638.98890057236974</v>
      </c>
      <c r="V99" s="432">
        <f t="shared" si="7"/>
        <v>93741.847387873247</v>
      </c>
      <c r="W99" s="549">
        <f t="shared" si="12"/>
        <v>88877.471794475627</v>
      </c>
      <c r="X99" s="549">
        <f t="shared" si="13"/>
        <v>2085</v>
      </c>
      <c r="Y99" s="432">
        <f t="shared" si="8"/>
        <v>14184112.09657358</v>
      </c>
      <c r="Z99" s="432"/>
      <c r="AA99" s="432">
        <f t="shared" si="9"/>
        <v>14470825.716738857</v>
      </c>
      <c r="AB99" s="436"/>
      <c r="AC99" s="436"/>
    </row>
    <row r="100" spans="2:35" x14ac:dyDescent="0.2">
      <c r="B100" s="18" t="s">
        <v>31</v>
      </c>
      <c r="C100" s="490">
        <v>2013</v>
      </c>
      <c r="D100" s="437">
        <v>6433</v>
      </c>
      <c r="E100" s="437">
        <v>6433</v>
      </c>
      <c r="F100" s="437">
        <v>5284</v>
      </c>
      <c r="G100" s="432">
        <v>31400000</v>
      </c>
      <c r="H100" s="437">
        <f t="shared" si="22"/>
        <v>182583.69005</v>
      </c>
      <c r="I100" s="437">
        <v>182583.69005</v>
      </c>
      <c r="J100" s="495">
        <f t="shared" si="19"/>
        <v>0.58147671990445859</v>
      </c>
      <c r="K100" s="439">
        <v>1559100000</v>
      </c>
      <c r="L100" s="439">
        <v>1559100000</v>
      </c>
      <c r="M100" s="427"/>
      <c r="O100" s="436">
        <v>111</v>
      </c>
      <c r="P100" s="436"/>
      <c r="Q100" s="436"/>
      <c r="R100" s="436"/>
      <c r="S100" s="436"/>
      <c r="T100" s="475">
        <f>'Table 1'!F20</f>
        <v>1.2704232442229755</v>
      </c>
      <c r="U100" s="475">
        <f>'Benchmark Year Price'!F97</f>
        <v>646.60346255596494</v>
      </c>
      <c r="V100" s="432">
        <f t="shared" si="7"/>
        <v>2411215.0495405928</v>
      </c>
      <c r="W100" s="549">
        <f t="shared" si="12"/>
        <v>2347821.2966890871</v>
      </c>
      <c r="X100" s="549">
        <f t="shared" si="13"/>
        <v>2086</v>
      </c>
      <c r="Y100" s="432">
        <f t="shared" si="8"/>
        <v>16222409.725563252</v>
      </c>
      <c r="Z100" s="432"/>
      <c r="AA100" s="432">
        <f t="shared" si="9"/>
        <v>14184112.09657358</v>
      </c>
      <c r="AB100" s="436"/>
      <c r="AC100" s="436"/>
    </row>
    <row r="101" spans="2:35" s="507" customFormat="1" x14ac:dyDescent="0.2">
      <c r="B101" s="507" t="s">
        <v>31</v>
      </c>
      <c r="C101" s="508">
        <v>2014</v>
      </c>
      <c r="D101" s="512">
        <v>6433</v>
      </c>
      <c r="E101" s="512">
        <v>6433</v>
      </c>
      <c r="F101" s="512">
        <v>5284</v>
      </c>
      <c r="G101" s="512">
        <v>31500000</v>
      </c>
      <c r="H101" s="512">
        <f t="shared" si="22"/>
        <v>188019.67078964785</v>
      </c>
      <c r="I101" s="512">
        <v>188019.67078964785</v>
      </c>
      <c r="J101" s="513">
        <f t="shared" si="19"/>
        <v>0.59688784377665982</v>
      </c>
      <c r="K101" s="509">
        <v>74300000</v>
      </c>
      <c r="L101" s="509">
        <v>74300000</v>
      </c>
      <c r="M101" s="509"/>
      <c r="O101" s="514">
        <v>113.4</v>
      </c>
      <c r="P101" s="514"/>
      <c r="Q101" s="514"/>
      <c r="R101" s="514"/>
      <c r="S101" s="514"/>
      <c r="T101" s="538">
        <f>'Table 1'!F21</f>
        <v>1.296459337573129</v>
      </c>
      <c r="U101" s="538">
        <f>'Benchmark Year Price'!F98</f>
        <v>657.2774814191323</v>
      </c>
      <c r="V101" s="512">
        <f t="shared" si="7"/>
        <v>113042.05925262853</v>
      </c>
      <c r="W101" s="549">
        <f t="shared" si="12"/>
        <v>113042.05925262853</v>
      </c>
      <c r="X101" s="549">
        <f t="shared" si="13"/>
        <v>2087</v>
      </c>
      <c r="Y101" s="512">
        <f t="shared" si="8"/>
        <v>15908945.060335143</v>
      </c>
      <c r="Z101" s="512"/>
      <c r="AA101" s="512">
        <f t="shared" si="9"/>
        <v>16222409.725563252</v>
      </c>
      <c r="AB101" s="514"/>
      <c r="AC101" s="514"/>
    </row>
    <row r="102" spans="2:35" x14ac:dyDescent="0.2">
      <c r="B102" s="18"/>
      <c r="D102" s="437"/>
      <c r="F102" s="437"/>
      <c r="J102" s="490"/>
      <c r="K102" s="439"/>
      <c r="L102" s="439"/>
    </row>
    <row r="103" spans="2:35" x14ac:dyDescent="0.2">
      <c r="J103" s="490"/>
      <c r="K103" s="453"/>
      <c r="L103" s="453"/>
    </row>
    <row r="104" spans="2:35" x14ac:dyDescent="0.2">
      <c r="C104" s="460" t="s">
        <v>639</v>
      </c>
      <c r="D104" s="486">
        <f>LN(D101/D71)/30</f>
        <v>3.4069102032962795E-3</v>
      </c>
      <c r="E104" s="486"/>
      <c r="F104" s="486">
        <f>LN(F101/F71)/30</f>
        <v>-7.0370270503683323E-3</v>
      </c>
      <c r="G104" s="486">
        <f>LN(G101/G71)/30</f>
        <v>-5.5985613150192903E-3</v>
      </c>
      <c r="H104" s="486">
        <f>LN(H101/H71)/30</f>
        <v>3.7513238138478025E-2</v>
      </c>
      <c r="I104" s="486"/>
      <c r="J104" s="486">
        <f>LN(J101/J71)/30</f>
        <v>3.9226449058792176E-2</v>
      </c>
      <c r="O104" s="486">
        <f>LN(O101/O71)/30</f>
        <v>2.2812249763596647E-2</v>
      </c>
      <c r="P104" s="112"/>
      <c r="Q104" s="112"/>
      <c r="R104" s="112"/>
      <c r="S104" s="112"/>
      <c r="T104" s="486">
        <f>LN(T101/T71)/30</f>
        <v>2.3874017477085605E-2</v>
      </c>
      <c r="V104" s="112"/>
      <c r="W104" s="112"/>
      <c r="X104" s="112"/>
      <c r="Y104" s="486">
        <f>LN(Y101/Y71)/30</f>
        <v>-1.2229210178947127E-2</v>
      </c>
      <c r="Z104" s="486"/>
      <c r="AA104" s="486">
        <f>LN(AA101/AA71)/30</f>
        <v>-1.2262452722805038E-2</v>
      </c>
      <c r="AB104" s="486"/>
      <c r="AC104" s="112"/>
    </row>
    <row r="105" spans="2:35" x14ac:dyDescent="0.2">
      <c r="C105" s="460" t="s">
        <v>666</v>
      </c>
      <c r="D105" s="486">
        <f>LN(D101/D82)/(2014-1995)</f>
        <v>5.0817730936016658E-3</v>
      </c>
      <c r="E105" s="486"/>
      <c r="F105" s="486">
        <f t="shared" ref="F105:T105" si="23">LN(F101/F82)/(2014-1995)</f>
        <v>-4.7494311850527562E-3</v>
      </c>
      <c r="G105" s="486">
        <f t="shared" si="23"/>
        <v>-4.6352115025139647E-3</v>
      </c>
      <c r="H105" s="486">
        <f t="shared" si="23"/>
        <v>3.6837312950459368E-2</v>
      </c>
      <c r="I105" s="486"/>
      <c r="J105" s="486">
        <f t="shared" si="23"/>
        <v>3.5337760671859966E-2</v>
      </c>
      <c r="K105" s="486"/>
      <c r="L105" s="486"/>
      <c r="M105" s="486"/>
      <c r="N105" s="486"/>
      <c r="O105" s="486">
        <f t="shared" si="23"/>
        <v>1.8494625623046778E-2</v>
      </c>
      <c r="P105" s="486" t="e">
        <f t="shared" si="23"/>
        <v>#DIV/0!</v>
      </c>
      <c r="Q105" s="486" t="e">
        <f t="shared" si="23"/>
        <v>#NUM!</v>
      </c>
      <c r="R105" s="486" t="e">
        <f t="shared" si="23"/>
        <v>#NUM!</v>
      </c>
      <c r="S105" s="486" t="e">
        <f t="shared" si="23"/>
        <v>#DIV/0!</v>
      </c>
      <c r="T105" s="486">
        <f t="shared" si="23"/>
        <v>2.0171100960134615E-2</v>
      </c>
      <c r="V105" s="112"/>
      <c r="W105" s="112"/>
      <c r="X105" s="112"/>
      <c r="Y105" s="486">
        <f t="shared" ref="Y105" si="24">LN(Y101/Y82)/(2014-1995)</f>
        <v>-9.1986062521082559E-3</v>
      </c>
      <c r="Z105" s="486"/>
      <c r="AA105" s="486">
        <f t="shared" ref="AA105" si="25">LN(AA101/AA82)/(2014-1995)</f>
        <v>-8.7892870413359518E-3</v>
      </c>
      <c r="AB105" s="486"/>
      <c r="AC105" s="112"/>
    </row>
    <row r="106" spans="2:35" x14ac:dyDescent="0.2">
      <c r="C106" s="460" t="s">
        <v>638</v>
      </c>
      <c r="D106" s="486">
        <f>LN(D101/D89)/12</f>
        <v>6.4357413442412586E-4</v>
      </c>
      <c r="E106" s="486"/>
      <c r="F106" s="486">
        <f>LN(F101/F89)/12</f>
        <v>-8.3087404809870109E-3</v>
      </c>
      <c r="G106" s="486">
        <f>LN(G101/G89)/12</f>
        <v>-6.1189557129014338E-3</v>
      </c>
      <c r="H106" s="486">
        <f>LN(H101/H89)/12</f>
        <v>4.5365784247109887E-2</v>
      </c>
      <c r="I106" s="486"/>
      <c r="J106" s="486">
        <f>LN(J101/J89)/12</f>
        <v>5.1484739960011329E-2</v>
      </c>
      <c r="O106" s="486">
        <f>LN(O101/O89)/12</f>
        <v>1.8981994239225999E-2</v>
      </c>
      <c r="P106" s="112"/>
      <c r="Q106" s="112"/>
      <c r="R106" s="112"/>
      <c r="S106" s="112"/>
      <c r="T106" s="486">
        <f>LN(T101/T89)/12</f>
        <v>2.1636413522948438E-2</v>
      </c>
      <c r="V106" s="112"/>
      <c r="W106" s="112"/>
      <c r="X106" s="112"/>
      <c r="Y106" s="486">
        <f>LN(Y101/Y89)/12</f>
        <v>-4.8027881711548244E-3</v>
      </c>
      <c r="Z106" s="486"/>
      <c r="AA106" s="486">
        <f>LN(AA101/AA89)/12</f>
        <v>-4.4487692336378079E-3</v>
      </c>
      <c r="AB106" s="486"/>
      <c r="AC106" s="112"/>
    </row>
    <row r="107" spans="2:35" x14ac:dyDescent="0.2">
      <c r="O107" s="571"/>
    </row>
    <row r="108" spans="2:35" ht="13.5" thickBot="1" x14ac:dyDescent="0.25">
      <c r="O108" s="703"/>
      <c r="P108" s="703"/>
      <c r="Q108" s="703"/>
      <c r="R108" s="703"/>
      <c r="S108" s="703"/>
      <c r="T108" s="703"/>
      <c r="U108" s="704">
        <v>2014</v>
      </c>
      <c r="V108" s="703"/>
      <c r="W108" s="703"/>
      <c r="X108" s="703"/>
      <c r="Y108" s="703"/>
      <c r="Z108" s="703"/>
      <c r="AA108" s="703"/>
      <c r="AB108" s="703"/>
      <c r="AC108" s="703"/>
      <c r="AD108" s="703"/>
      <c r="AE108" s="703"/>
      <c r="AF108" s="703"/>
      <c r="AG108" s="703"/>
      <c r="AH108" s="703"/>
      <c r="AI108" s="703"/>
    </row>
    <row r="109" spans="2:35" x14ac:dyDescent="0.2">
      <c r="C109" s="515"/>
      <c r="D109" s="519" t="s">
        <v>639</v>
      </c>
      <c r="E109" s="519" t="s">
        <v>666</v>
      </c>
      <c r="F109" s="519" t="s">
        <v>638</v>
      </c>
      <c r="G109" s="555" t="s">
        <v>796</v>
      </c>
      <c r="I109" s="546"/>
      <c r="O109" s="703"/>
      <c r="P109" s="703"/>
      <c r="Q109" s="705"/>
      <c r="R109" s="705"/>
      <c r="S109" s="705"/>
      <c r="T109" s="705"/>
      <c r="U109" s="704">
        <v>73</v>
      </c>
      <c r="V109" s="703"/>
      <c r="W109" s="703"/>
      <c r="X109" s="703"/>
      <c r="Y109" s="703"/>
      <c r="Z109" s="703"/>
      <c r="AA109" s="703"/>
      <c r="AB109" s="705"/>
      <c r="AC109" s="705"/>
      <c r="AD109" s="703"/>
      <c r="AE109" s="703"/>
      <c r="AF109" s="703"/>
      <c r="AG109" s="703"/>
      <c r="AH109" s="703"/>
      <c r="AI109" s="703"/>
    </row>
    <row r="110" spans="2:35" x14ac:dyDescent="0.2">
      <c r="C110" s="517" t="s">
        <v>636</v>
      </c>
      <c r="D110" s="520">
        <f>D104-AA104</f>
        <v>1.5669362926101316E-2</v>
      </c>
      <c r="E110" s="520">
        <f>D105-AA105</f>
        <v>1.3871060134937618E-2</v>
      </c>
      <c r="F110" s="520">
        <f>D106-AA106</f>
        <v>5.0923433680619334E-3</v>
      </c>
      <c r="G110" s="556" t="e">
        <f>#REF!</f>
        <v>#REF!</v>
      </c>
      <c r="I110" s="577"/>
      <c r="O110" s="703"/>
      <c r="P110" s="703"/>
      <c r="Q110" s="705"/>
      <c r="R110" s="705"/>
      <c r="S110" s="705"/>
      <c r="T110" s="705"/>
      <c r="U110" s="704">
        <f>U108-U109</f>
        <v>1941</v>
      </c>
      <c r="V110" s="703"/>
      <c r="W110" s="703"/>
      <c r="X110" s="703"/>
      <c r="Y110" s="703"/>
      <c r="Z110" s="703"/>
      <c r="AA110" s="703"/>
      <c r="AB110" s="705"/>
      <c r="AC110" s="705"/>
      <c r="AD110" s="703"/>
      <c r="AE110" s="703"/>
      <c r="AF110" s="703"/>
      <c r="AG110" s="703"/>
      <c r="AH110" s="703"/>
      <c r="AI110" s="703"/>
    </row>
    <row r="111" spans="2:35" x14ac:dyDescent="0.2">
      <c r="C111" s="517" t="s">
        <v>637</v>
      </c>
      <c r="D111" s="520">
        <f>D104-(H104-T104)</f>
        <v>-1.0232310458096141E-2</v>
      </c>
      <c r="E111" s="520">
        <f>D105-(H105-T105)</f>
        <v>-1.1584438896723087E-2</v>
      </c>
      <c r="F111" s="520">
        <f>D106-(H106-T106)</f>
        <v>-2.3085796589737324E-2</v>
      </c>
      <c r="G111" s="556" t="e">
        <f>1-G110</f>
        <v>#REF!</v>
      </c>
      <c r="I111" s="529"/>
      <c r="O111" s="703"/>
      <c r="P111" s="703"/>
      <c r="Q111" s="705"/>
      <c r="R111" s="705"/>
      <c r="S111" s="705"/>
      <c r="T111" s="705"/>
      <c r="U111" s="704">
        <f>U110+6</f>
        <v>1947</v>
      </c>
      <c r="V111" s="703"/>
      <c r="W111" s="703"/>
      <c r="X111" s="703"/>
      <c r="Y111" s="703"/>
      <c r="Z111" s="703"/>
      <c r="AA111" s="703"/>
      <c r="AB111" s="705"/>
      <c r="AC111" s="705"/>
      <c r="AD111" s="703"/>
      <c r="AE111" s="703"/>
      <c r="AF111" s="703"/>
      <c r="AG111" s="703"/>
      <c r="AH111" s="703"/>
      <c r="AI111" s="703"/>
    </row>
    <row r="112" spans="2:35" ht="13.5" thickBot="1" x14ac:dyDescent="0.25">
      <c r="C112" s="518" t="s">
        <v>665</v>
      </c>
      <c r="D112" s="521" t="e">
        <f>D110*$G$110+$G$111*D111</f>
        <v>#REF!</v>
      </c>
      <c r="E112" s="599" t="e">
        <f>E110*$G$110+$G$111*E111</f>
        <v>#REF!</v>
      </c>
      <c r="F112" s="669" t="s">
        <v>822</v>
      </c>
      <c r="G112" s="557"/>
      <c r="I112" s="529"/>
      <c r="O112" s="703"/>
      <c r="P112" s="703"/>
      <c r="Q112" s="705"/>
      <c r="R112" s="705"/>
      <c r="S112" s="705"/>
      <c r="T112" s="705"/>
      <c r="U112" s="716"/>
      <c r="V112" s="717"/>
      <c r="W112" s="703"/>
      <c r="X112" s="703"/>
      <c r="Y112" s="703"/>
      <c r="Z112" s="703"/>
      <c r="AA112" s="703"/>
      <c r="AB112" s="705"/>
      <c r="AC112" s="705"/>
      <c r="AD112" s="703"/>
      <c r="AE112" s="703"/>
      <c r="AF112" s="703"/>
      <c r="AG112" s="703"/>
      <c r="AH112" s="703"/>
      <c r="AI112" s="703"/>
    </row>
    <row r="113" spans="3:35" x14ac:dyDescent="0.2">
      <c r="I113" s="577"/>
      <c r="O113" s="703"/>
      <c r="P113" s="703"/>
      <c r="Q113" s="704"/>
      <c r="R113" s="704"/>
      <c r="S113" s="704"/>
      <c r="T113" s="703"/>
      <c r="U113" s="750" t="s">
        <v>750</v>
      </c>
      <c r="V113" s="750"/>
      <c r="W113" s="706"/>
      <c r="X113" s="706"/>
      <c r="Y113" s="703" t="s">
        <v>749</v>
      </c>
      <c r="Z113" s="704" t="s">
        <v>747</v>
      </c>
      <c r="AA113" s="704" t="s">
        <v>634</v>
      </c>
      <c r="AB113" s="707"/>
      <c r="AC113" s="707"/>
      <c r="AD113" s="703"/>
      <c r="AE113" s="703"/>
      <c r="AF113" s="703"/>
      <c r="AG113" s="703"/>
      <c r="AH113" s="703"/>
      <c r="AI113" s="703"/>
    </row>
    <row r="114" spans="3:35" ht="38.25" x14ac:dyDescent="0.2">
      <c r="I114" s="578"/>
      <c r="J114" s="490"/>
      <c r="O114" s="703"/>
      <c r="P114" s="703"/>
      <c r="Q114" s="708" t="s">
        <v>748</v>
      </c>
      <c r="R114" s="708"/>
      <c r="S114" s="708"/>
      <c r="T114" s="703" t="s">
        <v>752</v>
      </c>
      <c r="U114" s="713">
        <v>2014</v>
      </c>
      <c r="V114" s="713">
        <f>U114-73</f>
        <v>1941</v>
      </c>
      <c r="W114" s="709"/>
      <c r="X114" s="709"/>
      <c r="Y114" s="710">
        <f>AVERAGE(V28:V32)</f>
        <v>251133.91730403792</v>
      </c>
      <c r="Z114" s="710">
        <f>Z115</f>
        <v>16222409.725563252</v>
      </c>
      <c r="AA114" s="711">
        <f>Y114/Z114</f>
        <v>1.5480678983733311E-2</v>
      </c>
      <c r="AB114" s="707"/>
      <c r="AC114" s="707"/>
      <c r="AD114" s="703"/>
      <c r="AE114" s="703"/>
      <c r="AF114" s="703"/>
      <c r="AG114" s="703"/>
      <c r="AH114" s="703"/>
      <c r="AI114" s="703"/>
    </row>
    <row r="115" spans="3:35" ht="13.5" thickBot="1" x14ac:dyDescent="0.25">
      <c r="O115" s="703"/>
      <c r="P115" s="703"/>
      <c r="Q115" s="703"/>
      <c r="R115" s="703"/>
      <c r="S115" s="703"/>
      <c r="T115" s="703"/>
      <c r="U115" s="713">
        <v>2015</v>
      </c>
      <c r="V115" s="713">
        <f>U115-73</f>
        <v>1942</v>
      </c>
      <c r="W115" s="709"/>
      <c r="X115" s="709"/>
      <c r="Y115" s="710">
        <f>AVERAGE(V29:V33)</f>
        <v>488619.25214589981</v>
      </c>
      <c r="Z115" s="710">
        <f>Z116</f>
        <v>16222409.725563252</v>
      </c>
      <c r="AA115" s="711">
        <f>Y115/Z115</f>
        <v>3.012001671835068E-2</v>
      </c>
      <c r="AB115" s="703"/>
      <c r="AC115" s="703"/>
      <c r="AD115" s="703"/>
      <c r="AE115" s="703"/>
      <c r="AF115" s="703"/>
      <c r="AG115" s="703"/>
      <c r="AH115" s="703"/>
      <c r="AI115" s="703"/>
    </row>
    <row r="116" spans="3:35" x14ac:dyDescent="0.2">
      <c r="C116" s="162" t="s">
        <v>633</v>
      </c>
      <c r="D116" s="499"/>
      <c r="E116" s="499"/>
      <c r="F116" s="499"/>
      <c r="G116" s="522">
        <f>'Depreciation Rate'!L61</f>
        <v>2.6291206528253862E-2</v>
      </c>
      <c r="H116" s="516" t="s">
        <v>702</v>
      </c>
      <c r="I116" s="516"/>
      <c r="J116" s="500"/>
      <c r="K116" s="18" t="s">
        <v>837</v>
      </c>
      <c r="O116" s="703"/>
      <c r="P116" s="703"/>
      <c r="Q116" s="703"/>
      <c r="R116" s="703"/>
      <c r="S116" s="703"/>
      <c r="T116" s="703"/>
      <c r="U116" s="713">
        <v>2016</v>
      </c>
      <c r="V116" s="713">
        <f>U116-73</f>
        <v>1943</v>
      </c>
      <c r="W116" s="709"/>
      <c r="X116" s="709"/>
      <c r="Y116" s="710">
        <f>AVERAGE(V30:V34)</f>
        <v>248404.20081160273</v>
      </c>
      <c r="Z116" s="710">
        <f>AA101</f>
        <v>16222409.725563252</v>
      </c>
      <c r="AA116" s="711">
        <f>Y116/Z116</f>
        <v>1.5312410733910124E-2</v>
      </c>
      <c r="AB116" s="703"/>
      <c r="AC116" s="703"/>
      <c r="AD116" s="703"/>
      <c r="AE116" s="703"/>
      <c r="AF116" s="703"/>
      <c r="AG116" s="703"/>
      <c r="AH116" s="703"/>
      <c r="AI116" s="703"/>
    </row>
    <row r="117" spans="3:35" ht="13.5" thickBot="1" x14ac:dyDescent="0.25">
      <c r="C117" s="523" t="s">
        <v>632</v>
      </c>
      <c r="D117" s="524"/>
      <c r="E117" s="524"/>
      <c r="F117" s="524"/>
      <c r="G117" s="702">
        <f>676/1818130</f>
        <v>3.7181059660200313E-4</v>
      </c>
      <c r="H117" s="525" t="s">
        <v>703</v>
      </c>
      <c r="I117" s="525"/>
      <c r="J117" s="701"/>
      <c r="K117" s="18" t="s">
        <v>860</v>
      </c>
      <c r="O117" s="703"/>
      <c r="P117" s="703"/>
      <c r="Q117" s="703"/>
      <c r="R117" s="703"/>
      <c r="S117" s="703"/>
      <c r="T117" s="703"/>
      <c r="U117" s="713">
        <v>2017</v>
      </c>
      <c r="V117" s="713">
        <f>U117-73</f>
        <v>1944</v>
      </c>
      <c r="W117" s="709"/>
      <c r="X117" s="709"/>
      <c r="Y117" s="710">
        <f>AVERAGE(V31:V35)</f>
        <v>509092.1258391639</v>
      </c>
      <c r="Z117" s="710">
        <f>Z116</f>
        <v>16222409.725563252</v>
      </c>
      <c r="AA117" s="711">
        <f>Y117/Z117</f>
        <v>3.1382028592024595E-2</v>
      </c>
      <c r="AB117" s="703"/>
      <c r="AC117" s="703"/>
      <c r="AD117" s="703"/>
      <c r="AE117" s="703"/>
      <c r="AF117" s="703"/>
      <c r="AG117" s="703"/>
      <c r="AH117" s="703"/>
      <c r="AI117" s="703"/>
    </row>
    <row r="118" spans="3:35" ht="13.5" thickBot="1" x14ac:dyDescent="0.25">
      <c r="K118" s="18" t="s">
        <v>861</v>
      </c>
      <c r="O118" s="703"/>
      <c r="P118" s="703"/>
      <c r="Q118" s="703"/>
      <c r="R118" s="703"/>
      <c r="S118" s="703"/>
      <c r="T118" s="703"/>
      <c r="U118" s="713">
        <v>2018</v>
      </c>
      <c r="V118" s="713">
        <f>U118-73</f>
        <v>1945</v>
      </c>
      <c r="W118" s="709"/>
      <c r="X118" s="709"/>
      <c r="Y118" s="710">
        <f>AVERAGE(V32:V36)</f>
        <v>509092.1258391639</v>
      </c>
      <c r="Z118" s="710">
        <f>Z117</f>
        <v>16222409.725563252</v>
      </c>
      <c r="AA118" s="711">
        <f>Y118/Z118</f>
        <v>3.1382028592024595E-2</v>
      </c>
      <c r="AB118" s="703"/>
      <c r="AC118" s="703"/>
      <c r="AD118" s="703"/>
      <c r="AE118" s="703"/>
      <c r="AF118" s="703"/>
      <c r="AG118" s="703"/>
      <c r="AH118" s="703"/>
      <c r="AI118" s="703"/>
    </row>
    <row r="119" spans="3:35" ht="13.5" thickBot="1" x14ac:dyDescent="0.25">
      <c r="C119" s="539" t="s">
        <v>705</v>
      </c>
      <c r="D119" s="540"/>
      <c r="E119" s="540"/>
      <c r="F119" s="540"/>
      <c r="G119" s="541">
        <f>'Benchmark Year Price'!J10</f>
        <v>40.04145651761992</v>
      </c>
      <c r="H119" s="18" t="s">
        <v>836</v>
      </c>
      <c r="O119" s="703"/>
      <c r="P119" s="703"/>
      <c r="Q119" s="703"/>
      <c r="R119" s="703"/>
      <c r="S119" s="703"/>
      <c r="T119" s="703"/>
      <c r="U119" s="713"/>
      <c r="V119" s="706"/>
      <c r="W119" s="712"/>
      <c r="X119" s="712"/>
      <c r="Y119" s="703"/>
      <c r="Z119" s="703"/>
      <c r="AA119" s="703"/>
      <c r="AB119" s="703"/>
      <c r="AC119" s="703"/>
      <c r="AD119" s="703"/>
      <c r="AE119" s="703"/>
      <c r="AF119" s="703"/>
      <c r="AG119" s="703"/>
      <c r="AH119" s="703"/>
      <c r="AI119" s="703"/>
    </row>
    <row r="120" spans="3:35" x14ac:dyDescent="0.2">
      <c r="D120" s="472"/>
      <c r="E120" s="472"/>
      <c r="F120" s="472"/>
      <c r="G120" s="38"/>
      <c r="O120" s="703"/>
      <c r="P120" s="703"/>
      <c r="Q120" s="703"/>
      <c r="R120" s="703"/>
      <c r="S120" s="703"/>
      <c r="T120" s="703"/>
      <c r="U120" s="751" t="s">
        <v>751</v>
      </c>
      <c r="V120" s="751"/>
      <c r="W120" s="713"/>
      <c r="X120" s="713"/>
      <c r="Y120" s="712" t="s">
        <v>749</v>
      </c>
      <c r="Z120" s="709" t="s">
        <v>747</v>
      </c>
      <c r="AA120" s="709" t="s">
        <v>634</v>
      </c>
      <c r="AB120" s="709" t="s">
        <v>769</v>
      </c>
      <c r="AC120" s="709" t="s">
        <v>770</v>
      </c>
      <c r="AD120" s="709" t="s">
        <v>634</v>
      </c>
      <c r="AE120" s="709" t="s">
        <v>18</v>
      </c>
      <c r="AF120" s="703"/>
      <c r="AG120" s="709" t="s">
        <v>771</v>
      </c>
      <c r="AH120" s="703"/>
      <c r="AI120" s="703"/>
    </row>
    <row r="121" spans="3:35" x14ac:dyDescent="0.2">
      <c r="D121" s="472"/>
      <c r="E121" s="472"/>
      <c r="F121" s="472"/>
      <c r="G121" s="496"/>
      <c r="O121" s="703"/>
      <c r="P121" s="703"/>
      <c r="Q121" s="703"/>
      <c r="R121" s="703"/>
      <c r="S121" s="703"/>
      <c r="T121" s="703"/>
      <c r="U121" s="713">
        <v>2014</v>
      </c>
      <c r="V121" s="713">
        <f>U121-73</f>
        <v>1941</v>
      </c>
      <c r="W121" s="709">
        <f>V121+18</f>
        <v>1959</v>
      </c>
      <c r="X121" s="709"/>
      <c r="Y121" s="710">
        <f>SUM(V28:V46)</f>
        <v>30818499.199593354</v>
      </c>
      <c r="Z121" s="710">
        <f>Z114</f>
        <v>16222409.725563252</v>
      </c>
      <c r="AA121" s="711">
        <f>Y121/Z121</f>
        <v>1.8997485405037948</v>
      </c>
      <c r="AB121" s="710">
        <f>SUM(W28:W46)</f>
        <v>6178370.4523847308</v>
      </c>
      <c r="AC121" s="710">
        <f>SUM(W49:W101)</f>
        <v>6972516.5435574567</v>
      </c>
      <c r="AD121" s="714">
        <f>Y121/AC121</f>
        <v>4.4199965689675373</v>
      </c>
      <c r="AE121" s="710">
        <f>SUM('Age Profile'!K34:K52)</f>
        <v>4516</v>
      </c>
      <c r="AF121" s="710">
        <f>D101</f>
        <v>6433</v>
      </c>
      <c r="AG121" s="710">
        <f>AF121-AE121</f>
        <v>1917</v>
      </c>
      <c r="AH121" s="703">
        <f>AE121/AG121</f>
        <v>2.3557642149191445</v>
      </c>
      <c r="AI121" s="703"/>
    </row>
    <row r="122" spans="3:35" x14ac:dyDescent="0.2">
      <c r="O122" s="703"/>
      <c r="P122" s="703"/>
      <c r="Q122" s="703"/>
      <c r="R122" s="703"/>
      <c r="S122" s="703"/>
      <c r="T122" s="703"/>
      <c r="U122" s="713">
        <v>2015</v>
      </c>
      <c r="V122" s="713">
        <f>U122-73</f>
        <v>1942</v>
      </c>
      <c r="W122" s="709">
        <f t="shared" ref="W122:W124" si="26">V122+18</f>
        <v>1960</v>
      </c>
      <c r="X122" s="709"/>
      <c r="Y122" s="710">
        <f>SUM(V29:V47)</f>
        <v>30763904.869744647</v>
      </c>
      <c r="Z122" s="710">
        <f>Z115</f>
        <v>16222409.725563252</v>
      </c>
      <c r="AA122" s="711">
        <f>Y122/Z122</f>
        <v>1.8963831755073308</v>
      </c>
      <c r="AB122" s="710">
        <f>SUM(W29:W47)</f>
        <v>6170563.6845807023</v>
      </c>
      <c r="AC122" s="710"/>
      <c r="AD122" s="715" t="e">
        <f t="shared" ref="AD122:AD124" si="27">Y122/AC122</f>
        <v>#DIV/0!</v>
      </c>
      <c r="AE122" s="703"/>
      <c r="AF122" s="703"/>
      <c r="AG122" s="703"/>
      <c r="AH122" s="703"/>
      <c r="AI122" s="703"/>
    </row>
    <row r="123" spans="3:35" ht="16.5" thickBot="1" x14ac:dyDescent="0.3">
      <c r="C123" s="752" t="s">
        <v>823</v>
      </c>
      <c r="D123" s="752"/>
      <c r="E123" s="752"/>
      <c r="F123" s="752"/>
      <c r="G123" s="752"/>
      <c r="H123" s="752"/>
      <c r="I123" s="752"/>
      <c r="J123" s="752"/>
      <c r="O123" s="703"/>
      <c r="P123" s="703"/>
      <c r="Q123" s="703"/>
      <c r="R123" s="703"/>
      <c r="S123" s="703"/>
      <c r="T123" s="703"/>
      <c r="U123" s="713">
        <v>2016</v>
      </c>
      <c r="V123" s="713">
        <f>U123-73</f>
        <v>1943</v>
      </c>
      <c r="W123" s="709">
        <f t="shared" si="26"/>
        <v>1961</v>
      </c>
      <c r="X123" s="709"/>
      <c r="Y123" s="710">
        <f>SUM(V30:V48)</f>
        <v>30804850.617131174</v>
      </c>
      <c r="Z123" s="710">
        <f>Z116</f>
        <v>16222409.725563252</v>
      </c>
      <c r="AA123" s="711">
        <f>Y123/Z123</f>
        <v>1.8989071992546784</v>
      </c>
      <c r="AB123" s="710">
        <f>SUM(W30:W48)</f>
        <v>6296778.7065291293</v>
      </c>
      <c r="AC123" s="710"/>
      <c r="AD123" s="715" t="e">
        <f t="shared" si="27"/>
        <v>#DIV/0!</v>
      </c>
      <c r="AE123" s="703"/>
      <c r="AF123" s="703"/>
      <c r="AG123" s="703"/>
      <c r="AH123" s="703"/>
      <c r="AI123" s="703"/>
    </row>
    <row r="124" spans="3:35" x14ac:dyDescent="0.2">
      <c r="C124" s="590" t="s">
        <v>775</v>
      </c>
      <c r="D124" s="499"/>
      <c r="E124" s="499"/>
      <c r="F124" s="600" t="s">
        <v>18</v>
      </c>
      <c r="G124" s="600" t="s">
        <v>778</v>
      </c>
      <c r="H124" s="499" t="s">
        <v>789</v>
      </c>
      <c r="I124" s="499"/>
      <c r="J124" s="679" t="s">
        <v>18</v>
      </c>
      <c r="O124" s="703"/>
      <c r="P124" s="703"/>
      <c r="Q124" s="703"/>
      <c r="R124" s="703"/>
      <c r="S124" s="703"/>
      <c r="T124" s="703"/>
      <c r="U124" s="713">
        <v>2017</v>
      </c>
      <c r="V124" s="713">
        <f>U124-73</f>
        <v>1944</v>
      </c>
      <c r="W124" s="709">
        <f t="shared" si="26"/>
        <v>1962</v>
      </c>
      <c r="X124" s="709"/>
      <c r="Y124" s="710">
        <f>SUM(V31:V49)</f>
        <v>30804850.617131174</v>
      </c>
      <c r="Z124" s="710">
        <f>Z117</f>
        <v>16222409.725563252</v>
      </c>
      <c r="AA124" s="711">
        <f>Y124/Z124</f>
        <v>1.8989071992546784</v>
      </c>
      <c r="AB124" s="710">
        <f>SUM(W31:W49)</f>
        <v>6296778.7065291293</v>
      </c>
      <c r="AC124" s="710"/>
      <c r="AD124" s="715" t="e">
        <f t="shared" si="27"/>
        <v>#DIV/0!</v>
      </c>
      <c r="AE124" s="703"/>
      <c r="AF124" s="703"/>
      <c r="AG124" s="703"/>
      <c r="AH124" s="703"/>
      <c r="AI124" s="703"/>
    </row>
    <row r="125" spans="3:35" x14ac:dyDescent="0.2">
      <c r="C125" s="591">
        <v>2002</v>
      </c>
      <c r="D125" s="33"/>
      <c r="E125" s="33"/>
      <c r="F125" s="603">
        <f>E89</f>
        <v>6898.5099999999984</v>
      </c>
      <c r="G125" s="545"/>
      <c r="H125" s="592">
        <f>E149</f>
        <v>244</v>
      </c>
      <c r="I125" s="611" t="s">
        <v>786</v>
      </c>
      <c r="J125" s="681">
        <f>E149</f>
        <v>244</v>
      </c>
      <c r="O125" s="703"/>
      <c r="P125" s="703"/>
      <c r="Q125" s="703"/>
      <c r="R125" s="703"/>
      <c r="S125" s="703"/>
      <c r="T125" s="703"/>
      <c r="U125" s="709"/>
      <c r="V125" s="709"/>
      <c r="W125" s="709"/>
      <c r="X125" s="709"/>
      <c r="Y125" s="710"/>
      <c r="Z125" s="710"/>
      <c r="AA125" s="711"/>
      <c r="AB125" s="710"/>
      <c r="AC125" s="710"/>
      <c r="AD125" s="715"/>
      <c r="AE125" s="703"/>
      <c r="AF125" s="703"/>
      <c r="AG125" s="703"/>
      <c r="AH125" s="703"/>
      <c r="AI125" s="703"/>
    </row>
    <row r="126" spans="3:35" x14ac:dyDescent="0.2">
      <c r="C126" s="591">
        <v>2009</v>
      </c>
      <c r="D126" s="33">
        <v>23.4</v>
      </c>
      <c r="E126" s="593">
        <f>D126/$D$135</f>
        <v>2.9454339480143492E-3</v>
      </c>
      <c r="F126" s="603"/>
      <c r="G126" s="545">
        <v>30</v>
      </c>
      <c r="H126" s="33"/>
      <c r="I126" s="605" t="s">
        <v>791</v>
      </c>
      <c r="J126" s="681">
        <f>G130</f>
        <v>515</v>
      </c>
      <c r="O126" s="703"/>
      <c r="P126" s="703"/>
      <c r="Q126" s="703"/>
      <c r="R126" s="703"/>
      <c r="S126" s="703"/>
      <c r="T126" s="703"/>
      <c r="U126" s="709"/>
      <c r="V126" s="709"/>
      <c r="W126" s="709"/>
      <c r="X126" s="709"/>
      <c r="Y126" s="703"/>
      <c r="Z126" s="710"/>
      <c r="AA126" s="711"/>
      <c r="AB126" s="703"/>
      <c r="AC126" s="703"/>
      <c r="AD126" s="712"/>
      <c r="AE126" s="703"/>
      <c r="AF126" s="703"/>
      <c r="AG126" s="703"/>
      <c r="AH126" s="703"/>
      <c r="AI126" s="703"/>
    </row>
    <row r="127" spans="3:35" x14ac:dyDescent="0.2">
      <c r="C127" s="591">
        <v>2010</v>
      </c>
      <c r="D127" s="33">
        <v>43.7</v>
      </c>
      <c r="E127" s="593">
        <f t="shared" ref="E127:E129" si="28">D127/$D$135</f>
        <v>5.5006608345396189E-3</v>
      </c>
      <c r="F127" s="603"/>
      <c r="G127" s="545">
        <v>485</v>
      </c>
      <c r="H127" s="33"/>
      <c r="I127" s="605" t="s">
        <v>794</v>
      </c>
      <c r="J127" s="681">
        <f>F125</f>
        <v>6898.5099999999984</v>
      </c>
      <c r="O127" s="703"/>
      <c r="P127" s="703"/>
      <c r="Q127" s="703"/>
      <c r="R127" s="703"/>
      <c r="S127" s="703"/>
      <c r="T127" s="703"/>
      <c r="U127" s="709">
        <v>1997</v>
      </c>
      <c r="V127" s="709">
        <f>U127-73</f>
        <v>1924</v>
      </c>
      <c r="W127" s="709"/>
      <c r="X127" s="709"/>
      <c r="Y127" s="710">
        <f>AVERAGE(V11:V29)</f>
        <v>499250.77953748964</v>
      </c>
      <c r="Z127" s="710">
        <f>AA84</f>
        <v>18555823.81117769</v>
      </c>
      <c r="AA127" s="711">
        <f>Y127/Z127</f>
        <v>2.6905341666197007E-2</v>
      </c>
      <c r="AB127" s="703"/>
      <c r="AC127" s="703"/>
      <c r="AD127" s="712"/>
      <c r="AE127" s="703"/>
      <c r="AF127" s="703"/>
      <c r="AG127" s="703"/>
      <c r="AH127" s="703"/>
      <c r="AI127" s="703"/>
    </row>
    <row r="128" spans="3:35" x14ac:dyDescent="0.2">
      <c r="C128" s="591">
        <v>2011</v>
      </c>
      <c r="D128" s="33">
        <v>501.8</v>
      </c>
      <c r="E128" s="593">
        <f t="shared" si="28"/>
        <v>6.316319466297439E-2</v>
      </c>
      <c r="F128" s="603"/>
      <c r="G128" s="529"/>
      <c r="H128" s="33"/>
      <c r="I128" s="605" t="s">
        <v>792</v>
      </c>
      <c r="J128" s="680">
        <f>(J125+J126)/J127</f>
        <v>0.11002375875370191</v>
      </c>
      <c r="O128" s="703"/>
      <c r="P128" s="703"/>
      <c r="Q128" s="703"/>
      <c r="R128" s="703"/>
      <c r="S128" s="703"/>
      <c r="T128" s="703"/>
      <c r="U128" s="709"/>
      <c r="V128" s="703"/>
      <c r="W128" s="703"/>
      <c r="X128" s="703"/>
      <c r="Y128" s="703"/>
      <c r="Z128" s="703"/>
      <c r="AA128" s="703"/>
      <c r="AB128" s="703"/>
      <c r="AC128" s="703"/>
      <c r="AD128" s="703"/>
      <c r="AE128" s="703"/>
      <c r="AF128" s="703"/>
      <c r="AG128" s="703"/>
      <c r="AH128" s="703"/>
      <c r="AI128" s="703"/>
    </row>
    <row r="129" spans="3:35" x14ac:dyDescent="0.2">
      <c r="C129" s="591" t="s">
        <v>600</v>
      </c>
      <c r="D129" s="33">
        <f>SUM(D126:D128)</f>
        <v>568.9</v>
      </c>
      <c r="E129" s="578">
        <f t="shared" si="28"/>
        <v>7.1609289445528357E-2</v>
      </c>
      <c r="F129" s="545"/>
      <c r="G129" s="547"/>
      <c r="H129" s="33"/>
      <c r="I129" s="605" t="s">
        <v>793</v>
      </c>
      <c r="J129" s="680">
        <f>J126/J127</f>
        <v>7.4653802052907101E-2</v>
      </c>
      <c r="O129" s="703"/>
      <c r="P129" s="703"/>
      <c r="Q129" s="703"/>
      <c r="R129" s="703"/>
      <c r="S129" s="703"/>
      <c r="T129" s="703"/>
      <c r="U129" s="753" t="s">
        <v>773</v>
      </c>
      <c r="V129" s="753"/>
      <c r="W129" s="703"/>
      <c r="X129" s="703"/>
      <c r="Y129" s="703"/>
      <c r="Z129" s="703"/>
      <c r="AA129" s="703"/>
      <c r="AB129" s="703"/>
      <c r="AC129" s="703"/>
      <c r="AD129" s="703"/>
      <c r="AE129" s="703"/>
      <c r="AF129" s="703"/>
      <c r="AG129" s="703"/>
      <c r="AH129" s="703"/>
      <c r="AI129" s="703"/>
    </row>
    <row r="130" spans="3:35" x14ac:dyDescent="0.2">
      <c r="C130" s="591"/>
      <c r="D130" s="33"/>
      <c r="E130" s="670">
        <f>1-E129</f>
        <v>0.92839071055447164</v>
      </c>
      <c r="F130" s="545"/>
      <c r="G130" s="604">
        <f>SUM(G126:G127)</f>
        <v>515</v>
      </c>
      <c r="H130" s="33"/>
      <c r="I130" s="33"/>
      <c r="J130" s="168"/>
      <c r="O130" s="703"/>
      <c r="P130" s="703"/>
      <c r="Q130" s="703"/>
      <c r="R130" s="703"/>
      <c r="S130" s="703"/>
      <c r="T130" s="703"/>
      <c r="U130" s="704">
        <v>2014</v>
      </c>
      <c r="V130" s="704">
        <f>U130-73</f>
        <v>1941</v>
      </c>
      <c r="W130" s="704">
        <f>V130+9</f>
        <v>1950</v>
      </c>
      <c r="X130" s="703"/>
      <c r="Y130" s="710">
        <f>SUM(V29:V38)</f>
        <v>8646376.9897884801</v>
      </c>
      <c r="Z130" s="710">
        <f>Z121</f>
        <v>16222409.725563252</v>
      </c>
      <c r="AA130" s="703"/>
      <c r="AB130" s="710">
        <f>SUM(W29:W38)</f>
        <v>1494419.1347667656</v>
      </c>
      <c r="AC130" s="710">
        <f>SUM(W58:W111)</f>
        <v>6640871.2776910206</v>
      </c>
      <c r="AD130" s="714">
        <f>Y130/AC130</f>
        <v>1.3019943661360589</v>
      </c>
      <c r="AE130" s="703"/>
      <c r="AF130" s="703"/>
      <c r="AG130" s="703"/>
      <c r="AH130" s="703"/>
      <c r="AI130" s="703"/>
    </row>
    <row r="131" spans="3:35" x14ac:dyDescent="0.2">
      <c r="C131" s="602"/>
      <c r="D131" s="33"/>
      <c r="E131" s="671"/>
      <c r="F131" s="33"/>
      <c r="G131" s="593">
        <f>G130/F125</f>
        <v>7.4653802052907101E-2</v>
      </c>
      <c r="H131" s="606"/>
      <c r="I131" s="33"/>
      <c r="J131" s="168"/>
      <c r="O131" s="703"/>
      <c r="P131" s="703"/>
      <c r="Q131" s="703"/>
      <c r="R131" s="703"/>
      <c r="S131" s="703"/>
      <c r="T131" s="703"/>
      <c r="U131" s="704"/>
      <c r="V131" s="704"/>
      <c r="W131" s="704"/>
      <c r="X131" s="703"/>
      <c r="Y131" s="710"/>
      <c r="Z131" s="710"/>
      <c r="AA131" s="703"/>
      <c r="AB131" s="710"/>
      <c r="AC131" s="710"/>
      <c r="AD131" s="714"/>
      <c r="AE131" s="703"/>
      <c r="AF131" s="703"/>
      <c r="AG131" s="703"/>
      <c r="AH131" s="703"/>
      <c r="AI131" s="703"/>
    </row>
    <row r="132" spans="3:35" ht="13.5" thickBot="1" x14ac:dyDescent="0.25">
      <c r="C132" s="591"/>
      <c r="D132" s="33"/>
      <c r="E132" s="33"/>
      <c r="F132" s="33"/>
      <c r="G132" s="529"/>
      <c r="H132" s="606"/>
      <c r="I132" s="33"/>
      <c r="J132" s="168"/>
      <c r="O132" s="703"/>
      <c r="P132" s="703"/>
      <c r="Q132" s="703"/>
      <c r="R132" s="703"/>
      <c r="S132" s="703"/>
      <c r="T132" s="703"/>
      <c r="U132" s="704"/>
      <c r="V132" s="703"/>
      <c r="W132" s="703"/>
      <c r="X132" s="703"/>
      <c r="Y132" s="703"/>
      <c r="Z132" s="703"/>
      <c r="AA132" s="703"/>
      <c r="AB132" s="703"/>
      <c r="AC132" s="703"/>
      <c r="AD132" s="703"/>
      <c r="AE132" s="703"/>
      <c r="AF132" s="703"/>
      <c r="AG132" s="703"/>
      <c r="AH132" s="703"/>
      <c r="AI132" s="703"/>
    </row>
    <row r="133" spans="3:35" ht="25.5" x14ac:dyDescent="0.2">
      <c r="C133" s="591" t="s">
        <v>599</v>
      </c>
      <c r="D133" s="33"/>
      <c r="E133" s="33"/>
      <c r="F133" s="33"/>
      <c r="G133" s="682">
        <f>1-J129</f>
        <v>0.92534619794709294</v>
      </c>
      <c r="H133" s="607" t="s">
        <v>788</v>
      </c>
      <c r="I133" s="47" t="s">
        <v>835</v>
      </c>
      <c r="J133" s="168"/>
      <c r="O133" s="703"/>
      <c r="P133" s="703"/>
      <c r="Q133" s="703"/>
      <c r="R133" s="703"/>
      <c r="S133" s="703"/>
      <c r="T133" s="703"/>
      <c r="U133" s="704"/>
      <c r="V133" s="703"/>
      <c r="W133" s="703"/>
      <c r="X133" s="703"/>
      <c r="Y133" s="703"/>
      <c r="Z133" s="703"/>
      <c r="AA133" s="703"/>
      <c r="AB133" s="703"/>
      <c r="AC133" s="703"/>
      <c r="AD133" s="703"/>
      <c r="AE133" s="703"/>
      <c r="AF133" s="703"/>
      <c r="AG133" s="703"/>
      <c r="AH133" s="703"/>
      <c r="AI133" s="703"/>
    </row>
    <row r="134" spans="3:35" x14ac:dyDescent="0.2">
      <c r="C134" s="591"/>
      <c r="D134" s="33"/>
      <c r="E134" s="33"/>
      <c r="F134" s="33"/>
      <c r="G134" s="683"/>
      <c r="H134" s="608"/>
      <c r="I134" s="33"/>
      <c r="J134" s="168"/>
      <c r="O134" s="703"/>
      <c r="P134" s="703"/>
      <c r="Q134" s="703"/>
      <c r="R134" s="703"/>
      <c r="S134" s="703"/>
      <c r="T134" s="703"/>
      <c r="U134" s="704"/>
      <c r="V134" s="703"/>
      <c r="W134" s="703"/>
      <c r="X134" s="703"/>
      <c r="Y134" s="703"/>
      <c r="Z134" s="703"/>
      <c r="AA134" s="703"/>
      <c r="AB134" s="703"/>
      <c r="AC134" s="703"/>
      <c r="AD134" s="703"/>
      <c r="AE134" s="703"/>
      <c r="AF134" s="703"/>
      <c r="AG134" s="703"/>
      <c r="AH134" s="703"/>
      <c r="AI134" s="703"/>
    </row>
    <row r="135" spans="3:35" x14ac:dyDescent="0.2">
      <c r="C135" s="591">
        <v>2008</v>
      </c>
      <c r="D135" s="594">
        <v>7944.5</v>
      </c>
      <c r="E135" s="33"/>
      <c r="F135" s="33"/>
      <c r="G135" s="684"/>
      <c r="H135" s="608"/>
      <c r="I135" s="33"/>
      <c r="J135" s="168"/>
      <c r="O135" s="703"/>
      <c r="P135" s="703"/>
      <c r="Q135" s="703"/>
      <c r="R135" s="703"/>
      <c r="S135" s="703"/>
      <c r="T135" s="703"/>
      <c r="U135" s="704"/>
      <c r="V135" s="703">
        <v>1995</v>
      </c>
      <c r="W135" s="703"/>
      <c r="X135" s="703"/>
      <c r="Y135" s="703"/>
      <c r="Z135" s="703"/>
      <c r="AA135" s="703"/>
      <c r="AB135" s="703"/>
      <c r="AC135" s="703"/>
      <c r="AD135" s="703"/>
      <c r="AE135" s="703"/>
      <c r="AF135" s="703"/>
      <c r="AG135" s="703"/>
      <c r="AH135" s="703"/>
      <c r="AI135" s="703"/>
    </row>
    <row r="136" spans="3:35" ht="26.25" thickBot="1" x14ac:dyDescent="0.25">
      <c r="C136" s="591"/>
      <c r="D136" s="33"/>
      <c r="E136" s="33"/>
      <c r="F136" s="33"/>
      <c r="G136" s="609">
        <f>1-J128</f>
        <v>0.88997624124629815</v>
      </c>
      <c r="H136" s="610" t="s">
        <v>790</v>
      </c>
      <c r="I136" s="47" t="s">
        <v>834</v>
      </c>
      <c r="J136" s="168"/>
      <c r="O136" s="703"/>
      <c r="P136" s="703"/>
      <c r="Q136" s="703"/>
      <c r="R136" s="703"/>
      <c r="S136" s="703"/>
      <c r="T136" s="703"/>
      <c r="U136" s="704"/>
      <c r="V136" s="703">
        <f>V135-72</f>
        <v>1923</v>
      </c>
      <c r="W136" s="703"/>
      <c r="X136" s="703"/>
      <c r="Y136" s="703"/>
      <c r="Z136" s="703"/>
      <c r="AA136" s="703"/>
      <c r="AB136" s="703"/>
      <c r="AC136" s="703"/>
      <c r="AD136" s="703"/>
      <c r="AE136" s="703"/>
      <c r="AF136" s="703"/>
      <c r="AG136" s="703"/>
      <c r="AH136" s="703"/>
      <c r="AI136" s="703"/>
    </row>
    <row r="137" spans="3:35" x14ac:dyDescent="0.2">
      <c r="C137" s="591" t="s">
        <v>776</v>
      </c>
      <c r="D137" s="593">
        <f>D129/D135</f>
        <v>7.1609289445528357E-2</v>
      </c>
      <c r="E137" s="47" t="s">
        <v>833</v>
      </c>
      <c r="F137" s="33"/>
      <c r="G137" s="461"/>
      <c r="H137" s="33"/>
      <c r="I137" s="33"/>
      <c r="J137" s="168"/>
      <c r="O137" s="703"/>
      <c r="P137" s="703"/>
      <c r="Q137" s="703"/>
      <c r="R137" s="703"/>
      <c r="S137" s="703"/>
      <c r="T137" s="703"/>
      <c r="U137" s="704"/>
      <c r="V137" s="703"/>
      <c r="W137" s="703"/>
      <c r="X137" s="703"/>
      <c r="Y137" s="703"/>
      <c r="Z137" s="703"/>
      <c r="AA137" s="703"/>
      <c r="AB137" s="703"/>
      <c r="AC137" s="703"/>
      <c r="AD137" s="703"/>
      <c r="AE137" s="703"/>
      <c r="AF137" s="703"/>
      <c r="AG137" s="703"/>
      <c r="AH137" s="703"/>
      <c r="AI137" s="703"/>
    </row>
    <row r="138" spans="3:35" ht="13.5" thickBot="1" x14ac:dyDescent="0.25">
      <c r="C138" s="595" t="s">
        <v>777</v>
      </c>
      <c r="D138" s="596"/>
      <c r="E138" s="596"/>
      <c r="F138" s="596"/>
      <c r="G138" s="596"/>
      <c r="H138" s="596"/>
      <c r="I138" s="596"/>
      <c r="J138" s="506"/>
      <c r="O138" s="703"/>
      <c r="P138" s="703"/>
      <c r="Q138" s="703"/>
      <c r="R138" s="703"/>
      <c r="S138" s="703"/>
      <c r="T138" s="703"/>
      <c r="U138" s="704"/>
      <c r="V138" s="703"/>
      <c r="W138" s="703"/>
      <c r="X138" s="703"/>
      <c r="Y138" s="703"/>
      <c r="Z138" s="703"/>
      <c r="AA138" s="703"/>
      <c r="AB138" s="703"/>
      <c r="AC138" s="703"/>
      <c r="AD138" s="703"/>
      <c r="AE138" s="703"/>
      <c r="AF138" s="703"/>
      <c r="AG138" s="703"/>
      <c r="AH138" s="703"/>
      <c r="AI138" s="703"/>
    </row>
    <row r="139" spans="3:35" x14ac:dyDescent="0.2">
      <c r="O139" s="703"/>
      <c r="P139" s="703"/>
      <c r="Q139" s="703"/>
      <c r="R139" s="703"/>
      <c r="S139" s="703"/>
      <c r="T139" s="703"/>
      <c r="U139" s="704"/>
      <c r="V139" s="703"/>
      <c r="W139" s="703"/>
      <c r="X139" s="703"/>
      <c r="Y139" s="703"/>
      <c r="Z139" s="703"/>
      <c r="AA139" s="703"/>
      <c r="AB139" s="703"/>
      <c r="AC139" s="703"/>
      <c r="AD139" s="703"/>
      <c r="AE139" s="703"/>
      <c r="AF139" s="703"/>
      <c r="AG139" s="703"/>
      <c r="AH139" s="703"/>
      <c r="AI139" s="703"/>
    </row>
    <row r="140" spans="3:35" ht="13.5" thickBot="1" x14ac:dyDescent="0.25">
      <c r="O140" s="703"/>
      <c r="P140" s="703"/>
      <c r="Q140" s="703"/>
      <c r="R140" s="703"/>
      <c r="S140" s="703"/>
      <c r="T140" s="703"/>
      <c r="U140" s="704"/>
      <c r="V140" s="703"/>
      <c r="W140" s="703"/>
      <c r="X140" s="703"/>
      <c r="Y140" s="703"/>
      <c r="Z140" s="703"/>
      <c r="AA140" s="703"/>
      <c r="AB140" s="703"/>
      <c r="AC140" s="703"/>
      <c r="AD140" s="703"/>
      <c r="AE140" s="703"/>
      <c r="AF140" s="703"/>
      <c r="AG140" s="703"/>
      <c r="AH140" s="703"/>
      <c r="AI140" s="703"/>
    </row>
    <row r="141" spans="3:35" x14ac:dyDescent="0.2">
      <c r="C141" s="685" t="s">
        <v>780</v>
      </c>
      <c r="D141" s="499"/>
      <c r="E141" s="600" t="s">
        <v>594</v>
      </c>
      <c r="F141" s="499"/>
      <c r="G141" s="499"/>
      <c r="H141" s="500"/>
      <c r="O141" s="703"/>
      <c r="P141" s="703"/>
      <c r="Q141" s="703"/>
      <c r="R141" s="703"/>
      <c r="S141" s="703"/>
      <c r="T141" s="703"/>
      <c r="U141" s="704"/>
      <c r="V141" s="703"/>
      <c r="W141" s="703"/>
      <c r="X141" s="703"/>
      <c r="Y141" s="703"/>
      <c r="Z141" s="703"/>
      <c r="AA141" s="703"/>
      <c r="AB141" s="703"/>
      <c r="AC141" s="703"/>
      <c r="AD141" s="703"/>
      <c r="AE141" s="703"/>
      <c r="AF141" s="703"/>
      <c r="AG141" s="703"/>
      <c r="AH141" s="703"/>
      <c r="AI141" s="703"/>
    </row>
    <row r="142" spans="3:35" x14ac:dyDescent="0.2">
      <c r="C142" s="591"/>
      <c r="D142" s="33"/>
      <c r="E142" s="545"/>
      <c r="F142" s="33"/>
      <c r="G142" s="33"/>
      <c r="H142" s="168"/>
      <c r="O142" s="703"/>
      <c r="P142" s="703"/>
      <c r="Q142" s="703"/>
      <c r="R142" s="703"/>
      <c r="S142" s="703"/>
      <c r="T142" s="703"/>
      <c r="U142" s="704"/>
      <c r="V142" s="703"/>
      <c r="W142" s="703"/>
      <c r="X142" s="703"/>
      <c r="Y142" s="703"/>
      <c r="Z142" s="703"/>
      <c r="AA142" s="703"/>
      <c r="AB142" s="703"/>
      <c r="AC142" s="703"/>
      <c r="AD142" s="703"/>
      <c r="AE142" s="703"/>
      <c r="AF142" s="703"/>
      <c r="AG142" s="703"/>
      <c r="AH142" s="703"/>
      <c r="AI142" s="703"/>
    </row>
    <row r="143" spans="3:35" x14ac:dyDescent="0.2">
      <c r="C143" s="591" t="s">
        <v>112</v>
      </c>
      <c r="D143" s="33"/>
      <c r="E143" s="601">
        <v>28</v>
      </c>
      <c r="F143" s="47" t="s">
        <v>824</v>
      </c>
      <c r="G143" s="33"/>
      <c r="H143" s="168"/>
      <c r="O143" s="703"/>
      <c r="P143" s="703"/>
      <c r="Q143" s="703"/>
      <c r="R143" s="703"/>
      <c r="S143" s="703"/>
      <c r="T143" s="703"/>
      <c r="U143" s="704"/>
      <c r="V143" s="703"/>
      <c r="W143" s="703"/>
      <c r="X143" s="703"/>
      <c r="Y143" s="703"/>
      <c r="Z143" s="703"/>
      <c r="AA143" s="703"/>
      <c r="AB143" s="703"/>
      <c r="AC143" s="703"/>
      <c r="AD143" s="703"/>
      <c r="AE143" s="703"/>
      <c r="AF143" s="703"/>
      <c r="AG143" s="703"/>
      <c r="AH143" s="703"/>
      <c r="AI143" s="703"/>
    </row>
    <row r="144" spans="3:35" x14ac:dyDescent="0.2">
      <c r="C144" s="591" t="s">
        <v>781</v>
      </c>
      <c r="D144" s="33"/>
      <c r="E144" s="601"/>
      <c r="F144" s="47" t="s">
        <v>824</v>
      </c>
      <c r="G144" s="33"/>
      <c r="H144" s="168"/>
      <c r="O144" s="703"/>
      <c r="P144" s="703"/>
      <c r="Q144" s="703"/>
      <c r="R144" s="703"/>
      <c r="S144" s="703"/>
      <c r="T144" s="703"/>
      <c r="U144" s="704"/>
      <c r="V144" s="703"/>
      <c r="W144" s="703"/>
      <c r="X144" s="703"/>
      <c r="Y144" s="703"/>
      <c r="Z144" s="703"/>
      <c r="AA144" s="703"/>
      <c r="AB144" s="703"/>
      <c r="AC144" s="703"/>
      <c r="AD144" s="703"/>
      <c r="AE144" s="703"/>
      <c r="AF144" s="703"/>
      <c r="AG144" s="703"/>
      <c r="AH144" s="703"/>
      <c r="AI144" s="703"/>
    </row>
    <row r="145" spans="3:35" x14ac:dyDescent="0.2">
      <c r="C145" s="591" t="s">
        <v>782</v>
      </c>
      <c r="D145" s="33"/>
      <c r="E145" s="601">
        <v>158</v>
      </c>
      <c r="F145" s="33" t="s">
        <v>786</v>
      </c>
      <c r="G145" s="33"/>
      <c r="H145" s="168"/>
      <c r="O145" s="703"/>
      <c r="P145" s="703"/>
      <c r="Q145" s="703"/>
      <c r="R145" s="703"/>
      <c r="S145" s="703"/>
      <c r="T145" s="703"/>
      <c r="U145" s="704"/>
      <c r="V145" s="703"/>
      <c r="W145" s="703"/>
      <c r="X145" s="703"/>
      <c r="Y145" s="703"/>
      <c r="Z145" s="703"/>
      <c r="AA145" s="703"/>
      <c r="AB145" s="703"/>
      <c r="AC145" s="703"/>
      <c r="AD145" s="703"/>
      <c r="AE145" s="703"/>
      <c r="AF145" s="703"/>
      <c r="AG145" s="703"/>
      <c r="AH145" s="703"/>
      <c r="AI145" s="703"/>
    </row>
    <row r="146" spans="3:35" x14ac:dyDescent="0.2">
      <c r="C146" s="591" t="s">
        <v>783</v>
      </c>
      <c r="D146" s="33"/>
      <c r="E146" s="601">
        <v>46</v>
      </c>
      <c r="F146" s="33" t="s">
        <v>786</v>
      </c>
      <c r="G146" s="33"/>
      <c r="H146" s="168"/>
      <c r="O146" s="703"/>
      <c r="P146" s="703"/>
      <c r="Q146" s="703"/>
      <c r="R146" s="703"/>
      <c r="S146" s="703"/>
      <c r="T146" s="703"/>
      <c r="U146" s="704"/>
      <c r="V146" s="703"/>
      <c r="W146" s="703"/>
      <c r="X146" s="703"/>
      <c r="Y146" s="703"/>
      <c r="Z146" s="703"/>
      <c r="AA146" s="703"/>
      <c r="AB146" s="703"/>
      <c r="AC146" s="703"/>
      <c r="AD146" s="703"/>
      <c r="AE146" s="703"/>
      <c r="AF146" s="703"/>
      <c r="AG146" s="703"/>
      <c r="AH146" s="703"/>
      <c r="AI146" s="703"/>
    </row>
    <row r="147" spans="3:35" x14ac:dyDescent="0.2">
      <c r="C147" s="591" t="s">
        <v>784</v>
      </c>
      <c r="D147" s="33"/>
      <c r="E147" s="601">
        <v>40</v>
      </c>
      <c r="F147" s="33" t="s">
        <v>786</v>
      </c>
      <c r="G147" s="33"/>
      <c r="H147" s="168"/>
      <c r="O147" s="703"/>
      <c r="P147" s="703"/>
      <c r="Q147" s="703"/>
      <c r="R147" s="703"/>
      <c r="S147" s="703"/>
      <c r="T147" s="703"/>
      <c r="U147" s="704"/>
      <c r="V147" s="703"/>
      <c r="W147" s="703"/>
      <c r="X147" s="703"/>
      <c r="Y147" s="703"/>
      <c r="Z147" s="703"/>
      <c r="AA147" s="703"/>
      <c r="AB147" s="703"/>
      <c r="AC147" s="703"/>
      <c r="AD147" s="703"/>
      <c r="AE147" s="703"/>
      <c r="AF147" s="703"/>
      <c r="AG147" s="703"/>
      <c r="AH147" s="703"/>
      <c r="AI147" s="703"/>
    </row>
    <row r="148" spans="3:35" x14ac:dyDescent="0.2">
      <c r="C148" s="591"/>
      <c r="D148" s="33"/>
      <c r="E148" s="594"/>
      <c r="F148" s="33"/>
      <c r="G148" s="33"/>
      <c r="H148" s="168"/>
      <c r="O148" s="703"/>
      <c r="P148" s="703"/>
      <c r="Q148" s="703"/>
      <c r="R148" s="703"/>
      <c r="S148" s="703"/>
      <c r="T148" s="703"/>
      <c r="U148" s="704"/>
      <c r="V148" s="703"/>
      <c r="W148" s="703"/>
      <c r="X148" s="703"/>
      <c r="Y148" s="703"/>
      <c r="Z148" s="703"/>
      <c r="AA148" s="703"/>
      <c r="AB148" s="703"/>
      <c r="AC148" s="703"/>
      <c r="AD148" s="703"/>
      <c r="AE148" s="703"/>
      <c r="AF148" s="703"/>
      <c r="AG148" s="703"/>
      <c r="AH148" s="703"/>
      <c r="AI148" s="703"/>
    </row>
    <row r="149" spans="3:35" x14ac:dyDescent="0.2">
      <c r="C149" s="602" t="s">
        <v>785</v>
      </c>
      <c r="D149" s="33"/>
      <c r="E149" s="601">
        <f>SUM(E145:E147)</f>
        <v>244</v>
      </c>
      <c r="F149" s="33"/>
      <c r="G149" s="33"/>
      <c r="H149" s="168"/>
      <c r="O149" s="703"/>
      <c r="P149" s="703"/>
      <c r="Q149" s="703"/>
      <c r="R149" s="703"/>
      <c r="S149" s="703"/>
      <c r="T149" s="703"/>
      <c r="U149" s="704"/>
      <c r="V149" s="703"/>
      <c r="W149" s="703"/>
      <c r="X149" s="703"/>
      <c r="Y149" s="703"/>
      <c r="Z149" s="703"/>
      <c r="AA149" s="703"/>
      <c r="AB149" s="703"/>
      <c r="AC149" s="703"/>
      <c r="AD149" s="703"/>
      <c r="AE149" s="703"/>
      <c r="AF149" s="703"/>
      <c r="AG149" s="703"/>
      <c r="AH149" s="703"/>
      <c r="AI149" s="703"/>
    </row>
    <row r="150" spans="3:35" x14ac:dyDescent="0.2">
      <c r="C150" s="602" t="s">
        <v>787</v>
      </c>
      <c r="D150" s="33"/>
      <c r="E150" s="594">
        <f>E89</f>
        <v>6898.5099999999984</v>
      </c>
      <c r="F150" s="33"/>
      <c r="G150" s="33"/>
      <c r="H150" s="168"/>
      <c r="O150" s="703"/>
      <c r="P150" s="703"/>
      <c r="Q150" s="703"/>
      <c r="R150" s="703"/>
      <c r="S150" s="703"/>
      <c r="T150" s="703"/>
      <c r="U150" s="704"/>
      <c r="V150" s="703"/>
      <c r="W150" s="703"/>
      <c r="X150" s="703"/>
      <c r="Y150" s="703"/>
      <c r="Z150" s="703"/>
      <c r="AA150" s="703"/>
      <c r="AB150" s="703"/>
      <c r="AC150" s="703"/>
      <c r="AD150" s="703"/>
      <c r="AE150" s="703"/>
      <c r="AF150" s="703"/>
      <c r="AG150" s="703"/>
      <c r="AH150" s="703"/>
      <c r="AI150" s="703"/>
    </row>
    <row r="151" spans="3:35" x14ac:dyDescent="0.2">
      <c r="C151" s="602"/>
      <c r="D151" s="33"/>
      <c r="E151" s="593">
        <f>E149/E150</f>
        <v>3.5369956700794819E-2</v>
      </c>
      <c r="F151" s="33"/>
      <c r="G151" s="33"/>
      <c r="H151" s="168"/>
      <c r="O151" s="703"/>
      <c r="P151" s="703"/>
      <c r="Q151" s="703"/>
      <c r="R151" s="703"/>
      <c r="S151" s="703"/>
      <c r="T151" s="703"/>
      <c r="U151" s="704"/>
      <c r="V151" s="703"/>
      <c r="W151" s="703"/>
      <c r="X151" s="703"/>
      <c r="Y151" s="703"/>
      <c r="Z151" s="703"/>
      <c r="AA151" s="703"/>
      <c r="AB151" s="703"/>
      <c r="AC151" s="703"/>
      <c r="AD151" s="703"/>
      <c r="AE151" s="703"/>
      <c r="AF151" s="703"/>
      <c r="AG151" s="703"/>
      <c r="AH151" s="703"/>
      <c r="AI151" s="703"/>
    </row>
    <row r="152" spans="3:35" x14ac:dyDescent="0.2">
      <c r="C152" s="591"/>
      <c r="D152" s="33"/>
      <c r="E152" s="33"/>
      <c r="F152" s="33"/>
      <c r="G152" s="33"/>
      <c r="H152" s="168"/>
      <c r="O152" s="703"/>
      <c r="P152" s="703"/>
      <c r="Q152" s="703"/>
      <c r="R152" s="703"/>
      <c r="S152" s="703"/>
      <c r="T152" s="703"/>
      <c r="U152" s="704"/>
      <c r="V152" s="703"/>
      <c r="W152" s="703"/>
      <c r="X152" s="703"/>
      <c r="Y152" s="703"/>
      <c r="Z152" s="703"/>
      <c r="AA152" s="703"/>
      <c r="AB152" s="703"/>
      <c r="AC152" s="703"/>
      <c r="AD152" s="703"/>
      <c r="AE152" s="703"/>
      <c r="AF152" s="703"/>
      <c r="AG152" s="703"/>
      <c r="AH152" s="703"/>
      <c r="AI152" s="703"/>
    </row>
    <row r="153" spans="3:35" ht="13.5" thickBot="1" x14ac:dyDescent="0.25">
      <c r="C153" s="595"/>
      <c r="D153" s="596"/>
      <c r="E153" s="596"/>
      <c r="F153" s="596"/>
      <c r="G153" s="596"/>
      <c r="H153" s="506"/>
      <c r="O153" s="703"/>
      <c r="P153" s="703"/>
      <c r="Q153" s="703"/>
      <c r="R153" s="703"/>
      <c r="S153" s="703"/>
      <c r="T153" s="703"/>
      <c r="U153" s="704"/>
      <c r="V153" s="703"/>
      <c r="W153" s="703"/>
      <c r="X153" s="703"/>
      <c r="Y153" s="703"/>
      <c r="Z153" s="703"/>
      <c r="AA153" s="703"/>
      <c r="AB153" s="703"/>
      <c r="AC153" s="703"/>
      <c r="AD153" s="703"/>
      <c r="AE153" s="703"/>
      <c r="AF153" s="703"/>
      <c r="AG153" s="703"/>
      <c r="AH153" s="703"/>
      <c r="AI153" s="703"/>
    </row>
  </sheetData>
  <mergeCells count="4">
    <mergeCell ref="U113:V113"/>
    <mergeCell ref="U120:V120"/>
    <mergeCell ref="U129:V129"/>
    <mergeCell ref="C123:J1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election activeCell="G23" sqref="G23"/>
    </sheetView>
  </sheetViews>
  <sheetFormatPr defaultColWidth="8.85546875" defaultRowHeight="12.75" x14ac:dyDescent="0.2"/>
  <cols>
    <col min="2" max="2" width="12.85546875" customWidth="1"/>
    <col min="3" max="5" width="11.28515625" customWidth="1"/>
    <col min="6" max="6" width="20.28515625" customWidth="1"/>
    <col min="7" max="7" width="10.42578125" customWidth="1"/>
    <col min="8" max="8" width="14.42578125" customWidth="1"/>
    <col min="9" max="9" width="22.85546875" customWidth="1"/>
    <col min="12" max="12" width="20.28515625" style="490" customWidth="1"/>
    <col min="13" max="13" width="10.42578125" customWidth="1"/>
    <col min="17" max="17" width="13.42578125" customWidth="1"/>
    <col min="19" max="19" width="11.28515625" customWidth="1"/>
    <col min="21" max="22" width="11.28515625" customWidth="1"/>
    <col min="23" max="23" width="10.42578125" bestFit="1" customWidth="1"/>
  </cols>
  <sheetData>
    <row r="1" spans="1:24" x14ac:dyDescent="0.2">
      <c r="L1" s="662"/>
    </row>
    <row r="2" spans="1:24" ht="20.25" x14ac:dyDescent="0.3">
      <c r="A2" s="700" t="s">
        <v>849</v>
      </c>
      <c r="L2" s="757" t="s">
        <v>850</v>
      </c>
      <c r="M2" s="757"/>
      <c r="N2" s="757"/>
      <c r="O2" s="757"/>
      <c r="P2" s="757"/>
      <c r="Q2" s="757"/>
      <c r="R2" s="757"/>
      <c r="S2" s="757"/>
      <c r="T2" s="757"/>
      <c r="U2" s="757"/>
      <c r="V2" s="757"/>
      <c r="W2" s="757"/>
      <c r="X2" s="757"/>
    </row>
    <row r="3" spans="1:24" x14ac:dyDescent="0.2">
      <c r="L3" s="662"/>
    </row>
    <row r="4" spans="1:24" x14ac:dyDescent="0.2">
      <c r="C4" s="429"/>
      <c r="D4" s="429"/>
      <c r="E4" s="429"/>
    </row>
    <row r="5" spans="1:24" x14ac:dyDescent="0.2">
      <c r="O5" s="756" t="s">
        <v>732</v>
      </c>
      <c r="P5" s="756"/>
      <c r="Q5" s="756"/>
      <c r="R5" s="756"/>
      <c r="S5" s="756"/>
      <c r="U5" s="756" t="s">
        <v>714</v>
      </c>
      <c r="V5" s="756"/>
      <c r="W5" s="756"/>
      <c r="X5" s="756"/>
    </row>
    <row r="6" spans="1:24" ht="65.25" customHeight="1" x14ac:dyDescent="0.2">
      <c r="B6" s="457" t="s">
        <v>646</v>
      </c>
      <c r="C6" s="473" t="s">
        <v>848</v>
      </c>
      <c r="D6" s="473" t="s">
        <v>765</v>
      </c>
      <c r="E6" s="736" t="s">
        <v>870</v>
      </c>
      <c r="F6" s="473" t="s">
        <v>737</v>
      </c>
      <c r="G6" s="460" t="s">
        <v>17</v>
      </c>
      <c r="H6" s="18"/>
      <c r="L6" s="473" t="s">
        <v>851</v>
      </c>
      <c r="M6" s="460" t="s">
        <v>17</v>
      </c>
      <c r="O6" s="530" t="s">
        <v>733</v>
      </c>
      <c r="P6" s="451" t="s">
        <v>17</v>
      </c>
      <c r="Q6" s="530" t="s">
        <v>734</v>
      </c>
      <c r="R6" s="451" t="s">
        <v>17</v>
      </c>
      <c r="S6" s="451" t="s">
        <v>719</v>
      </c>
      <c r="U6" s="451" t="s">
        <v>17</v>
      </c>
      <c r="V6" s="530" t="s">
        <v>735</v>
      </c>
      <c r="W6" s="530" t="s">
        <v>720</v>
      </c>
      <c r="X6" s="530" t="s">
        <v>721</v>
      </c>
    </row>
    <row r="7" spans="1:24" x14ac:dyDescent="0.2">
      <c r="E7" s="424"/>
    </row>
    <row r="8" spans="1:24" x14ac:dyDescent="0.2">
      <c r="A8">
        <v>1924</v>
      </c>
      <c r="B8" s="490">
        <f t="shared" ref="B8:B39" si="0">49-(1972-A8)</f>
        <v>1</v>
      </c>
      <c r="C8" s="486">
        <f t="shared" ref="C8:C39" si="1">B8/$J$13</f>
        <v>8.1632653061224493E-4</v>
      </c>
      <c r="D8" s="486">
        <f>'Age Profile'!O17</f>
        <v>5.1698304790915965E-2</v>
      </c>
      <c r="E8" s="737">
        <f>'Age Profile'!L17</f>
        <v>0.10522999369880277</v>
      </c>
      <c r="F8" s="468">
        <f>W8</f>
        <v>12.849452851405106</v>
      </c>
      <c r="L8" s="468">
        <v>16</v>
      </c>
      <c r="W8" s="444">
        <f>W9/EXP(V9)</f>
        <v>12.849452851405106</v>
      </c>
    </row>
    <row r="9" spans="1:24" ht="13.5" thickBot="1" x14ac:dyDescent="0.25">
      <c r="A9">
        <v>1925</v>
      </c>
      <c r="B9" s="490">
        <f t="shared" si="0"/>
        <v>2</v>
      </c>
      <c r="C9" s="486">
        <f t="shared" si="1"/>
        <v>1.6326530612244899E-3</v>
      </c>
      <c r="D9" s="486">
        <f>'Age Profile'!O18</f>
        <v>7.2439540844756501E-4</v>
      </c>
      <c r="E9" s="737">
        <f>'Age Profile'!L18</f>
        <v>1.4177693761814746E-3</v>
      </c>
      <c r="F9" s="468">
        <f t="shared" ref="F9:F72" si="2">W9</f>
        <v>12.884675159933737</v>
      </c>
      <c r="G9" s="486">
        <f>LN(F9/F8)</f>
        <v>2.7374022937629635E-3</v>
      </c>
      <c r="K9" s="659" t="s">
        <v>871</v>
      </c>
      <c r="L9" s="468">
        <v>16</v>
      </c>
      <c r="M9" s="486">
        <f>LN(L9/L8)</f>
        <v>0</v>
      </c>
      <c r="S9" s="534">
        <f>$S$100</f>
        <v>2.7374022937629431E-3</v>
      </c>
      <c r="U9" s="431">
        <f>M9</f>
        <v>0</v>
      </c>
      <c r="V9" s="431">
        <f>U9+S9</f>
        <v>2.7374022937629431E-3</v>
      </c>
      <c r="W9" s="444">
        <f t="shared" ref="W9:W55" si="3">W10/EXP(V10)</f>
        <v>12.884675159933737</v>
      </c>
      <c r="X9" s="429">
        <f>LN(W9/W8)</f>
        <v>2.7374022937629635E-3</v>
      </c>
    </row>
    <row r="10" spans="1:24" x14ac:dyDescent="0.2">
      <c r="A10">
        <v>1926</v>
      </c>
      <c r="B10" s="490">
        <f t="shared" si="0"/>
        <v>3</v>
      </c>
      <c r="C10" s="486">
        <f t="shared" si="1"/>
        <v>2.4489795918367346E-3</v>
      </c>
      <c r="D10" s="486">
        <f>'Age Profile'!O19</f>
        <v>8.3584085590103653E-5</v>
      </c>
      <c r="E10" s="737">
        <f>'Age Profile'!L19</f>
        <v>1.575299306868305E-4</v>
      </c>
      <c r="F10" s="468">
        <f t="shared" si="2"/>
        <v>12.919994018177942</v>
      </c>
      <c r="G10" s="486">
        <f t="shared" ref="G10:G73" si="4">LN(F10/F9)</f>
        <v>2.7374022937629635E-3</v>
      </c>
      <c r="I10" s="162" t="s">
        <v>715</v>
      </c>
      <c r="J10" s="500">
        <f>SUMPRODUCT(D8:D56,F8:F56)</f>
        <v>40.04145651761992</v>
      </c>
      <c r="K10" s="739">
        <f>SUMPRODUCT(E8:E56,F8:F56)</f>
        <v>36.319364135148781</v>
      </c>
      <c r="L10" s="468">
        <v>16</v>
      </c>
      <c r="M10" s="486">
        <f t="shared" ref="M10:M73" si="5">LN(L10/L9)</f>
        <v>0</v>
      </c>
      <c r="S10" s="534">
        <f>$S$100</f>
        <v>2.7374022937629431E-3</v>
      </c>
      <c r="U10" s="431">
        <f t="shared" ref="U10:U73" si="6">M10</f>
        <v>0</v>
      </c>
      <c r="V10" s="431">
        <f t="shared" ref="V10:V73" si="7">U10+S10</f>
        <v>2.7374022937629431E-3</v>
      </c>
      <c r="W10" s="444">
        <f t="shared" si="3"/>
        <v>12.919994018177942</v>
      </c>
      <c r="X10" s="429">
        <f t="shared" ref="X10:X73" si="8">LN(W10/W9)</f>
        <v>2.7374022937629635E-3</v>
      </c>
    </row>
    <row r="11" spans="1:24" ht="13.5" thickBot="1" x14ac:dyDescent="0.25">
      <c r="A11">
        <v>1927</v>
      </c>
      <c r="B11" s="490">
        <f t="shared" si="0"/>
        <v>4</v>
      </c>
      <c r="C11" s="486">
        <f t="shared" si="1"/>
        <v>3.2653061224489797E-3</v>
      </c>
      <c r="D11" s="486">
        <f>'Age Profile'!O20</f>
        <v>0</v>
      </c>
      <c r="E11" s="737">
        <f>'Age Profile'!L20</f>
        <v>0</v>
      </c>
      <c r="F11" s="468">
        <f t="shared" si="2"/>
        <v>12.955409690795205</v>
      </c>
      <c r="G11" s="486">
        <f t="shared" si="4"/>
        <v>2.7374022937629635E-3</v>
      </c>
      <c r="I11" s="526" t="s">
        <v>716</v>
      </c>
      <c r="J11" s="506"/>
      <c r="K11" s="33"/>
      <c r="L11" s="468">
        <v>16</v>
      </c>
      <c r="M11" s="486">
        <f t="shared" si="5"/>
        <v>0</v>
      </c>
      <c r="S11" s="534">
        <f>$S$100</f>
        <v>2.7374022937629431E-3</v>
      </c>
      <c r="U11" s="431">
        <f t="shared" si="6"/>
        <v>0</v>
      </c>
      <c r="V11" s="431">
        <f t="shared" si="7"/>
        <v>2.7374022937629431E-3</v>
      </c>
      <c r="W11" s="444">
        <f t="shared" si="3"/>
        <v>12.955409690795205</v>
      </c>
      <c r="X11" s="429">
        <f t="shared" si="8"/>
        <v>2.7374022937629635E-3</v>
      </c>
    </row>
    <row r="12" spans="1:24" x14ac:dyDescent="0.2">
      <c r="A12">
        <v>1928</v>
      </c>
      <c r="B12" s="490">
        <f t="shared" si="0"/>
        <v>5</v>
      </c>
      <c r="C12" s="486">
        <f t="shared" si="1"/>
        <v>4.0816326530612249E-3</v>
      </c>
      <c r="D12" s="486">
        <f>'Age Profile'!O21</f>
        <v>1.7955099867503747E-4</v>
      </c>
      <c r="E12" s="737">
        <f>'Age Profile'!L21</f>
        <v>3.15059861373661E-4</v>
      </c>
      <c r="F12" s="468">
        <f t="shared" si="2"/>
        <v>13.80285509586651</v>
      </c>
      <c r="G12" s="486">
        <f t="shared" si="4"/>
        <v>6.3362024110197868E-2</v>
      </c>
      <c r="L12" s="468">
        <v>17</v>
      </c>
      <c r="M12" s="486">
        <f t="shared" si="5"/>
        <v>6.062462181643484E-2</v>
      </c>
      <c r="S12" s="534">
        <f>$S$100</f>
        <v>2.7374022937629431E-3</v>
      </c>
      <c r="U12" s="431">
        <f t="shared" si="6"/>
        <v>6.062462181643484E-2</v>
      </c>
      <c r="V12" s="431">
        <f t="shared" si="7"/>
        <v>6.3362024110197784E-2</v>
      </c>
      <c r="W12" s="444">
        <f t="shared" si="3"/>
        <v>13.80285509586651</v>
      </c>
      <c r="X12" s="429">
        <f t="shared" si="8"/>
        <v>6.3362024110197868E-2</v>
      </c>
    </row>
    <row r="13" spans="1:24" x14ac:dyDescent="0.2">
      <c r="A13">
        <v>1929</v>
      </c>
      <c r="B13" s="490">
        <f t="shared" si="0"/>
        <v>6</v>
      </c>
      <c r="C13" s="486">
        <f t="shared" si="1"/>
        <v>4.8979591836734691E-3</v>
      </c>
      <c r="D13" s="486">
        <f>'Age Profile'!O22</f>
        <v>3.714848248449051E-4</v>
      </c>
      <c r="E13" s="737">
        <f>'Age Profile'!L22</f>
        <v>6.3011972274732201E-4</v>
      </c>
      <c r="F13" s="468">
        <f t="shared" si="2"/>
        <v>13.840690825246181</v>
      </c>
      <c r="G13" s="486">
        <f t="shared" si="4"/>
        <v>2.7374022937629635E-3</v>
      </c>
      <c r="I13" s="18" t="s">
        <v>718</v>
      </c>
      <c r="J13" s="490">
        <f>SUM(B8:B56)</f>
        <v>1225</v>
      </c>
      <c r="K13" s="490"/>
      <c r="L13" s="468">
        <v>17</v>
      </c>
      <c r="M13" s="486">
        <f t="shared" si="5"/>
        <v>0</v>
      </c>
      <c r="Q13" s="444">
        <v>9.9</v>
      </c>
      <c r="S13" s="534">
        <f>$S$100</f>
        <v>2.7374022937629431E-3</v>
      </c>
      <c r="U13" s="431">
        <f t="shared" si="6"/>
        <v>0</v>
      </c>
      <c r="V13" s="431">
        <f t="shared" si="7"/>
        <v>2.7374022937629431E-3</v>
      </c>
      <c r="W13" s="444">
        <f t="shared" si="3"/>
        <v>13.840690825246181</v>
      </c>
      <c r="X13" s="429">
        <f t="shared" si="8"/>
        <v>2.7374022937629635E-3</v>
      </c>
    </row>
    <row r="14" spans="1:24" x14ac:dyDescent="0.2">
      <c r="A14">
        <v>1930</v>
      </c>
      <c r="B14" s="490">
        <f t="shared" si="0"/>
        <v>7</v>
      </c>
      <c r="C14" s="486">
        <f t="shared" si="1"/>
        <v>5.7142857142857143E-3</v>
      </c>
      <c r="D14" s="486">
        <f>'Age Profile'!O23</f>
        <v>6.6217170028604333E-3</v>
      </c>
      <c r="E14" s="737">
        <f>'Age Profile'!L23</f>
        <v>1.0869565217391304E-2</v>
      </c>
      <c r="F14" s="468">
        <f t="shared" si="2"/>
        <v>13.878630268126265</v>
      </c>
      <c r="G14" s="486">
        <f t="shared" si="4"/>
        <v>2.7374022937629635E-3</v>
      </c>
      <c r="I14" s="18" t="s">
        <v>717</v>
      </c>
      <c r="J14" s="431">
        <f>SUM(C8:C56)</f>
        <v>1</v>
      </c>
      <c r="K14" s="431"/>
      <c r="L14" s="468">
        <v>17</v>
      </c>
      <c r="M14" s="486">
        <f t="shared" si="5"/>
        <v>0</v>
      </c>
      <c r="Q14" s="444">
        <v>9.5190000000000001</v>
      </c>
      <c r="R14" s="429">
        <f t="shared" ref="R14:R45" si="9">LN(Q14/Q13)</f>
        <v>-3.9244955871376004E-2</v>
      </c>
      <c r="S14" s="534">
        <f t="shared" ref="S14:S44" si="10">$S$100</f>
        <v>2.7374022937629431E-3</v>
      </c>
      <c r="U14" s="431">
        <f t="shared" si="6"/>
        <v>0</v>
      </c>
      <c r="V14" s="431">
        <f t="shared" si="7"/>
        <v>2.7374022937629431E-3</v>
      </c>
      <c r="W14" s="444">
        <f t="shared" si="3"/>
        <v>13.878630268126265</v>
      </c>
      <c r="X14" s="429">
        <f t="shared" si="8"/>
        <v>2.7374022937629635E-3</v>
      </c>
    </row>
    <row r="15" spans="1:24" x14ac:dyDescent="0.2">
      <c r="A15">
        <v>1931</v>
      </c>
      <c r="B15" s="490">
        <f t="shared" si="0"/>
        <v>8</v>
      </c>
      <c r="C15" s="486">
        <f t="shared" si="1"/>
        <v>6.5306122448979594E-3</v>
      </c>
      <c r="D15" s="486">
        <f>'Age Profile'!O24</f>
        <v>9.5100115160295703E-3</v>
      </c>
      <c r="E15" s="737">
        <f>'Age Profile'!L24</f>
        <v>1.5122873345935728E-2</v>
      </c>
      <c r="F15" s="468">
        <f t="shared" si="2"/>
        <v>13.098045843577669</v>
      </c>
      <c r="G15" s="486">
        <f t="shared" si="4"/>
        <v>-5.7887219522671902E-2</v>
      </c>
      <c r="L15" s="468">
        <v>16</v>
      </c>
      <c r="M15" s="486">
        <f t="shared" si="5"/>
        <v>-6.0624621816434854E-2</v>
      </c>
      <c r="Q15" s="444">
        <v>8.5779999999999994</v>
      </c>
      <c r="R15" s="429">
        <f t="shared" si="9"/>
        <v>-0.10408901517447958</v>
      </c>
      <c r="S15" s="534">
        <f t="shared" si="10"/>
        <v>2.7374022937629431E-3</v>
      </c>
      <c r="U15" s="431">
        <f t="shared" si="6"/>
        <v>-6.0624621816434854E-2</v>
      </c>
      <c r="V15" s="431">
        <f t="shared" si="7"/>
        <v>-5.7887219522671909E-2</v>
      </c>
      <c r="W15" s="444">
        <f t="shared" si="3"/>
        <v>13.098045843577669</v>
      </c>
      <c r="X15" s="429">
        <f t="shared" si="8"/>
        <v>-5.7887219522671902E-2</v>
      </c>
    </row>
    <row r="16" spans="1:24" x14ac:dyDescent="0.2">
      <c r="A16">
        <v>1932</v>
      </c>
      <c r="B16" s="490">
        <f t="shared" si="0"/>
        <v>9</v>
      </c>
      <c r="C16" s="486">
        <f t="shared" si="1"/>
        <v>7.3469387755102037E-3</v>
      </c>
      <c r="D16" s="486">
        <f>'Age Profile'!O25</f>
        <v>0</v>
      </c>
      <c r="E16" s="737">
        <f>'Age Profile'!L25</f>
        <v>0</v>
      </c>
      <c r="F16" s="468">
        <f t="shared" si="2"/>
        <v>11.492205885460596</v>
      </c>
      <c r="G16" s="486">
        <f t="shared" si="4"/>
        <v>-0.1307939903307597</v>
      </c>
      <c r="I16" s="18" t="s">
        <v>764</v>
      </c>
      <c r="J16">
        <f>SUMPRODUCT(F8:F56,C8:C56)</f>
        <v>45.557416954745946</v>
      </c>
      <c r="L16" s="468">
        <v>14</v>
      </c>
      <c r="M16" s="486">
        <f t="shared" si="5"/>
        <v>-0.13353139262452263</v>
      </c>
      <c r="Q16" s="444">
        <v>7.6</v>
      </c>
      <c r="R16" s="429">
        <f t="shared" si="9"/>
        <v>-0.1210525388024033</v>
      </c>
      <c r="S16" s="534">
        <f t="shared" si="10"/>
        <v>2.7374022937629431E-3</v>
      </c>
      <c r="U16" s="431">
        <f t="shared" si="6"/>
        <v>-0.13353139262452263</v>
      </c>
      <c r="V16" s="431">
        <f t="shared" si="7"/>
        <v>-0.1307939903307597</v>
      </c>
      <c r="W16" s="444">
        <f t="shared" si="3"/>
        <v>11.492205885460596</v>
      </c>
      <c r="X16" s="429">
        <f t="shared" si="8"/>
        <v>-0.1307939903307597</v>
      </c>
    </row>
    <row r="17" spans="1:24" x14ac:dyDescent="0.2">
      <c r="A17">
        <v>1933</v>
      </c>
      <c r="B17" s="490">
        <f t="shared" si="0"/>
        <v>10</v>
      </c>
      <c r="C17" s="486">
        <f t="shared" si="1"/>
        <v>8.1632653061224497E-3</v>
      </c>
      <c r="D17" s="486">
        <f>'Age Profile'!O26</f>
        <v>3.6733657763413703E-2</v>
      </c>
      <c r="E17" s="737">
        <f>'Age Profile'!L26</f>
        <v>5.4977945809703846E-2</v>
      </c>
      <c r="F17" s="468">
        <f t="shared" si="2"/>
        <v>12.346829757011214</v>
      </c>
      <c r="G17" s="486">
        <f t="shared" si="4"/>
        <v>7.1730273780714282E-2</v>
      </c>
      <c r="L17" s="468">
        <v>15</v>
      </c>
      <c r="M17" s="486">
        <f t="shared" si="5"/>
        <v>6.8992871486951421E-2</v>
      </c>
      <c r="Q17" s="444">
        <v>7.3959999999999999</v>
      </c>
      <c r="R17" s="429">
        <f t="shared" si="9"/>
        <v>-2.7208933767406976E-2</v>
      </c>
      <c r="S17" s="534">
        <f t="shared" si="10"/>
        <v>2.7374022937629431E-3</v>
      </c>
      <c r="U17" s="431">
        <f t="shared" si="6"/>
        <v>6.8992871486951421E-2</v>
      </c>
      <c r="V17" s="431">
        <f t="shared" si="7"/>
        <v>7.1730273780714365E-2</v>
      </c>
      <c r="W17" s="444">
        <f t="shared" si="3"/>
        <v>12.346829757011214</v>
      </c>
      <c r="X17" s="429">
        <f t="shared" si="8"/>
        <v>7.1730273780714282E-2</v>
      </c>
    </row>
    <row r="18" spans="1:24" x14ac:dyDescent="0.2">
      <c r="A18">
        <v>1934</v>
      </c>
      <c r="B18" s="490">
        <f t="shared" si="0"/>
        <v>11</v>
      </c>
      <c r="C18" s="486">
        <f t="shared" si="1"/>
        <v>8.979591836734694E-3</v>
      </c>
      <c r="D18" s="486">
        <f>'Age Profile'!O27</f>
        <v>0</v>
      </c>
      <c r="E18" s="737">
        <f>'Age Profile'!L27</f>
        <v>0</v>
      </c>
      <c r="F18" s="468">
        <f t="shared" si="2"/>
        <v>13.206052585640645</v>
      </c>
      <c r="G18" s="486">
        <f t="shared" si="4"/>
        <v>6.7275923431334136E-2</v>
      </c>
      <c r="L18" s="468">
        <v>16</v>
      </c>
      <c r="M18" s="486">
        <f t="shared" si="5"/>
        <v>6.4538521137571164E-2</v>
      </c>
      <c r="Q18" s="444">
        <v>7.7569999999999997</v>
      </c>
      <c r="R18" s="429">
        <f t="shared" si="9"/>
        <v>4.7656347983856075E-2</v>
      </c>
      <c r="S18" s="534">
        <f t="shared" si="10"/>
        <v>2.7374022937629431E-3</v>
      </c>
      <c r="U18" s="431">
        <f t="shared" si="6"/>
        <v>6.4538521137571164E-2</v>
      </c>
      <c r="V18" s="431">
        <f t="shared" si="7"/>
        <v>6.7275923431334109E-2</v>
      </c>
      <c r="W18" s="444">
        <f t="shared" si="3"/>
        <v>13.206052585640645</v>
      </c>
      <c r="X18" s="429">
        <f t="shared" si="8"/>
        <v>6.7275923431334136E-2</v>
      </c>
    </row>
    <row r="19" spans="1:24" x14ac:dyDescent="0.2">
      <c r="A19">
        <v>1935</v>
      </c>
      <c r="B19" s="490">
        <f t="shared" si="0"/>
        <v>12</v>
      </c>
      <c r="C19" s="486">
        <f t="shared" si="1"/>
        <v>9.7959183673469383E-3</v>
      </c>
      <c r="D19" s="486">
        <f>'Age Profile'!O28</f>
        <v>0</v>
      </c>
      <c r="E19" s="737">
        <f>'Age Profile'!L28</f>
        <v>0</v>
      </c>
      <c r="F19" s="468">
        <f t="shared" si="2"/>
        <v>13.24225238838679</v>
      </c>
      <c r="G19" s="486">
        <f t="shared" si="4"/>
        <v>2.7374022937629635E-3</v>
      </c>
      <c r="L19" s="468">
        <v>16</v>
      </c>
      <c r="M19" s="486">
        <f t="shared" si="5"/>
        <v>0</v>
      </c>
      <c r="Q19" s="444">
        <v>7.9130000000000003</v>
      </c>
      <c r="R19" s="429">
        <f t="shared" si="9"/>
        <v>1.9911315118321758E-2</v>
      </c>
      <c r="S19" s="534">
        <f t="shared" si="10"/>
        <v>2.7374022937629431E-3</v>
      </c>
      <c r="U19" s="431">
        <f t="shared" si="6"/>
        <v>0</v>
      </c>
      <c r="V19" s="431">
        <f t="shared" si="7"/>
        <v>2.7374022937629431E-3</v>
      </c>
      <c r="W19" s="444">
        <f t="shared" si="3"/>
        <v>13.24225238838679</v>
      </c>
      <c r="X19" s="429">
        <f t="shared" si="8"/>
        <v>2.7374022937629635E-3</v>
      </c>
    </row>
    <row r="20" spans="1:24" x14ac:dyDescent="0.2">
      <c r="A20">
        <v>1936</v>
      </c>
      <c r="B20" s="490">
        <f t="shared" si="0"/>
        <v>13</v>
      </c>
      <c r="C20" s="486">
        <f t="shared" si="1"/>
        <v>1.0612244897959184E-2</v>
      </c>
      <c r="D20" s="486">
        <f>'Age Profile'!O29</f>
        <v>0</v>
      </c>
      <c r="E20" s="737">
        <f>'Age Profile'!L29</f>
        <v>0</v>
      </c>
      <c r="F20" s="468">
        <f t="shared" si="2"/>
        <v>14.108460884078452</v>
      </c>
      <c r="G20" s="486">
        <f t="shared" si="4"/>
        <v>6.3362024110197868E-2</v>
      </c>
      <c r="L20" s="468">
        <v>17</v>
      </c>
      <c r="M20" s="486">
        <f t="shared" si="5"/>
        <v>6.062462181643484E-2</v>
      </c>
      <c r="Q20" s="444">
        <v>8.0090000000000003</v>
      </c>
      <c r="R20" s="429">
        <f t="shared" si="9"/>
        <v>1.2058932714489025E-2</v>
      </c>
      <c r="S20" s="534">
        <f t="shared" si="10"/>
        <v>2.7374022937629431E-3</v>
      </c>
      <c r="U20" s="431">
        <f t="shared" si="6"/>
        <v>6.062462181643484E-2</v>
      </c>
      <c r="V20" s="431">
        <f t="shared" si="7"/>
        <v>6.3362024110197784E-2</v>
      </c>
      <c r="W20" s="444">
        <f t="shared" si="3"/>
        <v>14.108460884078452</v>
      </c>
      <c r="X20" s="429">
        <f t="shared" si="8"/>
        <v>6.3362024110197868E-2</v>
      </c>
    </row>
    <row r="21" spans="1:24" x14ac:dyDescent="0.2">
      <c r="A21">
        <v>1937</v>
      </c>
      <c r="B21" s="490">
        <f t="shared" si="0"/>
        <v>14</v>
      </c>
      <c r="C21" s="486">
        <f t="shared" si="1"/>
        <v>1.1428571428571429E-2</v>
      </c>
      <c r="D21" s="486">
        <f>'Age Profile'!O30</f>
        <v>0</v>
      </c>
      <c r="E21" s="737">
        <f>'Age Profile'!L30</f>
        <v>0</v>
      </c>
      <c r="F21" s="468">
        <f t="shared" si="2"/>
        <v>14.979318697586205</v>
      </c>
      <c r="G21" s="486">
        <f t="shared" si="4"/>
        <v>5.9895816133711491E-2</v>
      </c>
      <c r="L21" s="468">
        <v>18</v>
      </c>
      <c r="M21" s="486">
        <f t="shared" si="5"/>
        <v>5.7158413839948623E-2</v>
      </c>
      <c r="Q21" s="444">
        <v>8.3030000000000008</v>
      </c>
      <c r="R21" s="429">
        <f t="shared" si="9"/>
        <v>3.60509859383484E-2</v>
      </c>
      <c r="S21" s="534">
        <f t="shared" si="10"/>
        <v>2.7374022937629431E-3</v>
      </c>
      <c r="U21" s="431">
        <f t="shared" si="6"/>
        <v>5.7158413839948623E-2</v>
      </c>
      <c r="V21" s="431">
        <f t="shared" si="7"/>
        <v>5.9895816133711567E-2</v>
      </c>
      <c r="W21" s="444">
        <f t="shared" si="3"/>
        <v>14.979318697586205</v>
      </c>
      <c r="X21" s="429">
        <f t="shared" si="8"/>
        <v>5.9895816133711491E-2</v>
      </c>
    </row>
    <row r="22" spans="1:24" x14ac:dyDescent="0.2">
      <c r="A22">
        <v>1938</v>
      </c>
      <c r="B22" s="490">
        <f t="shared" si="0"/>
        <v>15</v>
      </c>
      <c r="C22" s="486">
        <f t="shared" si="1"/>
        <v>1.2244897959183673E-2</v>
      </c>
      <c r="D22" s="486">
        <f>'Age Profile'!O31</f>
        <v>9.6586054459675335E-4</v>
      </c>
      <c r="E22" s="737">
        <f>'Age Profile'!L31</f>
        <v>1.260239445494644E-3</v>
      </c>
      <c r="F22" s="468">
        <f t="shared" si="2"/>
        <v>15.020379292991819</v>
      </c>
      <c r="G22" s="486">
        <f t="shared" si="4"/>
        <v>2.7374022937629635E-3</v>
      </c>
      <c r="L22" s="468">
        <v>18</v>
      </c>
      <c r="M22" s="486">
        <f t="shared" si="5"/>
        <v>0</v>
      </c>
      <c r="Q22" s="444">
        <v>8.1509999999999998</v>
      </c>
      <c r="R22" s="429">
        <f t="shared" si="9"/>
        <v>-1.8476276167573344E-2</v>
      </c>
      <c r="S22" s="534">
        <f t="shared" si="10"/>
        <v>2.7374022937629431E-3</v>
      </c>
      <c r="U22" s="431">
        <f t="shared" si="6"/>
        <v>0</v>
      </c>
      <c r="V22" s="431">
        <f t="shared" si="7"/>
        <v>2.7374022937629431E-3</v>
      </c>
      <c r="W22" s="444">
        <f t="shared" si="3"/>
        <v>15.020379292991819</v>
      </c>
      <c r="X22" s="429">
        <f t="shared" si="8"/>
        <v>2.7374022937629635E-3</v>
      </c>
    </row>
    <row r="23" spans="1:24" x14ac:dyDescent="0.2">
      <c r="A23">
        <v>1939</v>
      </c>
      <c r="B23" s="490">
        <f t="shared" si="0"/>
        <v>16</v>
      </c>
      <c r="C23" s="486">
        <f t="shared" si="1"/>
        <v>1.3061224489795919E-2</v>
      </c>
      <c r="D23" s="486">
        <f>'Age Profile'!O32</f>
        <v>0</v>
      </c>
      <c r="E23" s="737">
        <f>'Age Profile'!L32</f>
        <v>0</v>
      </c>
      <c r="F23" s="468">
        <f t="shared" si="2"/>
        <v>15.061552441747097</v>
      </c>
      <c r="G23" s="486">
        <f t="shared" si="4"/>
        <v>2.7374022937629635E-3</v>
      </c>
      <c r="L23" s="468">
        <v>18</v>
      </c>
      <c r="M23" s="486">
        <f t="shared" si="5"/>
        <v>0</v>
      </c>
      <c r="Q23" s="444">
        <v>8.0489999999999995</v>
      </c>
      <c r="R23" s="429">
        <f t="shared" si="9"/>
        <v>-1.2592759000723599E-2</v>
      </c>
      <c r="S23" s="534">
        <f t="shared" si="10"/>
        <v>2.7374022937629431E-3</v>
      </c>
      <c r="U23" s="431">
        <f t="shared" si="6"/>
        <v>0</v>
      </c>
      <c r="V23" s="431">
        <f t="shared" si="7"/>
        <v>2.7374022937629431E-3</v>
      </c>
      <c r="W23" s="444">
        <f t="shared" si="3"/>
        <v>15.061552441747097</v>
      </c>
      <c r="X23" s="429">
        <f t="shared" si="8"/>
        <v>2.7374022937629635E-3</v>
      </c>
    </row>
    <row r="24" spans="1:24" x14ac:dyDescent="0.2">
      <c r="A24">
        <v>1940</v>
      </c>
      <c r="B24" s="490">
        <f t="shared" si="0"/>
        <v>17</v>
      </c>
      <c r="C24" s="486">
        <f t="shared" si="1"/>
        <v>1.3877551020408163E-2</v>
      </c>
      <c r="D24" s="486">
        <f>'Age Profile'!O33</f>
        <v>0</v>
      </c>
      <c r="E24" s="737">
        <f>'Age Profile'!L33</f>
        <v>0</v>
      </c>
      <c r="F24" s="468">
        <f t="shared" si="2"/>
        <v>15.941885033065583</v>
      </c>
      <c r="G24" s="486">
        <f t="shared" si="4"/>
        <v>5.6804623564038835E-2</v>
      </c>
      <c r="L24" s="468">
        <v>19</v>
      </c>
      <c r="M24" s="486">
        <f t="shared" si="5"/>
        <v>5.4067221270275793E-2</v>
      </c>
      <c r="Q24" s="444">
        <v>8.1229999999999993</v>
      </c>
      <c r="R24" s="429">
        <f t="shared" si="9"/>
        <v>9.1516839572198996E-3</v>
      </c>
      <c r="S24" s="534">
        <f t="shared" si="10"/>
        <v>2.7374022937629431E-3</v>
      </c>
      <c r="U24" s="431">
        <f t="shared" si="6"/>
        <v>5.4067221270275793E-2</v>
      </c>
      <c r="V24" s="431">
        <f t="shared" si="7"/>
        <v>5.6804623564038738E-2</v>
      </c>
      <c r="W24" s="444">
        <f t="shared" si="3"/>
        <v>15.941885033065583</v>
      </c>
      <c r="X24" s="429">
        <f t="shared" si="8"/>
        <v>5.6804623564038835E-2</v>
      </c>
    </row>
    <row r="25" spans="1:24" x14ac:dyDescent="0.2">
      <c r="A25">
        <v>1941</v>
      </c>
      <c r="B25" s="490">
        <f t="shared" si="0"/>
        <v>18</v>
      </c>
      <c r="C25" s="486">
        <f t="shared" si="1"/>
        <v>1.4693877551020407E-2</v>
      </c>
      <c r="D25" s="486">
        <f>'Age Profile'!O34</f>
        <v>1.0401575095657343E-3</v>
      </c>
      <c r="E25" s="737">
        <f>'Age Profile'!L34</f>
        <v>1.260239445494644E-3</v>
      </c>
      <c r="F25" s="468">
        <f t="shared" si="2"/>
        <v>16.826930704728767</v>
      </c>
      <c r="G25" s="486">
        <f t="shared" si="4"/>
        <v>5.4030696681313412E-2</v>
      </c>
      <c r="L25" s="468">
        <v>20</v>
      </c>
      <c r="M25" s="486">
        <f t="shared" si="5"/>
        <v>5.1293294387550481E-2</v>
      </c>
      <c r="Q25" s="444">
        <v>8.6560000000000006</v>
      </c>
      <c r="R25" s="429">
        <f t="shared" si="9"/>
        <v>6.3553178035309063E-2</v>
      </c>
      <c r="S25" s="534">
        <f t="shared" si="10"/>
        <v>2.7374022937629431E-3</v>
      </c>
      <c r="U25" s="431">
        <f t="shared" si="6"/>
        <v>5.1293294387550481E-2</v>
      </c>
      <c r="V25" s="431">
        <f t="shared" si="7"/>
        <v>5.4030696681313425E-2</v>
      </c>
      <c r="W25" s="444">
        <f t="shared" si="3"/>
        <v>16.826930704728767</v>
      </c>
      <c r="X25" s="429">
        <f t="shared" si="8"/>
        <v>5.4030696681313412E-2</v>
      </c>
    </row>
    <row r="26" spans="1:24" x14ac:dyDescent="0.2">
      <c r="A26">
        <v>1942</v>
      </c>
      <c r="B26" s="490">
        <f t="shared" si="0"/>
        <v>19</v>
      </c>
      <c r="C26" s="486">
        <f t="shared" si="1"/>
        <v>1.5510204081632653E-2</v>
      </c>
      <c r="D26" s="486">
        <f>'Age Profile'!O35</f>
        <v>2.3428309620218683E-2</v>
      </c>
      <c r="E26" s="737">
        <f>'Age Profile'!L35</f>
        <v>2.7725267800882167E-2</v>
      </c>
      <c r="F26" s="468">
        <f t="shared" si="2"/>
        <v>17.716708680534087</v>
      </c>
      <c r="G26" s="486">
        <f t="shared" si="4"/>
        <v>5.1527566463195021E-2</v>
      </c>
      <c r="L26" s="468">
        <v>21</v>
      </c>
      <c r="M26" s="486">
        <f t="shared" si="5"/>
        <v>4.8790164169432049E-2</v>
      </c>
      <c r="Q26" s="444">
        <v>9.375</v>
      </c>
      <c r="R26" s="429">
        <f t="shared" si="9"/>
        <v>7.9793849752348711E-2</v>
      </c>
      <c r="S26" s="534">
        <f t="shared" si="10"/>
        <v>2.7374022937629431E-3</v>
      </c>
      <c r="U26" s="431">
        <f t="shared" si="6"/>
        <v>4.8790164169432049E-2</v>
      </c>
      <c r="V26" s="431">
        <f t="shared" si="7"/>
        <v>5.1527566463194993E-2</v>
      </c>
      <c r="W26" s="444">
        <f t="shared" si="3"/>
        <v>17.716708680534087</v>
      </c>
      <c r="X26" s="429">
        <f t="shared" si="8"/>
        <v>5.1527566463195021E-2</v>
      </c>
    </row>
    <row r="27" spans="1:24" x14ac:dyDescent="0.2">
      <c r="A27">
        <v>1943</v>
      </c>
      <c r="B27" s="490">
        <f t="shared" si="0"/>
        <v>20</v>
      </c>
      <c r="C27" s="486">
        <f t="shared" si="1"/>
        <v>1.6326530612244899E-2</v>
      </c>
      <c r="D27" s="486">
        <f>'Age Profile'!O36</f>
        <v>0</v>
      </c>
      <c r="E27" s="737">
        <f>'Age Profile'!L36</f>
        <v>0</v>
      </c>
      <c r="F27" s="468">
        <f t="shared" si="2"/>
        <v>17.76527287906254</v>
      </c>
      <c r="G27" s="486">
        <f t="shared" si="4"/>
        <v>2.7374022937629635E-3</v>
      </c>
      <c r="L27" s="468">
        <v>21</v>
      </c>
      <c r="M27" s="486">
        <f t="shared" si="5"/>
        <v>0</v>
      </c>
      <c r="Q27" s="444">
        <v>9.8209999999999997</v>
      </c>
      <c r="R27" s="429">
        <f t="shared" si="9"/>
        <v>4.6476378319162598E-2</v>
      </c>
      <c r="S27" s="534">
        <f t="shared" si="10"/>
        <v>2.7374022937629431E-3</v>
      </c>
      <c r="U27" s="431">
        <f t="shared" si="6"/>
        <v>0</v>
      </c>
      <c r="V27" s="431">
        <f t="shared" si="7"/>
        <v>2.7374022937629431E-3</v>
      </c>
      <c r="W27" s="444">
        <f t="shared" si="3"/>
        <v>17.76527287906254</v>
      </c>
      <c r="X27" s="429">
        <f t="shared" si="8"/>
        <v>2.7374022937629635E-3</v>
      </c>
    </row>
    <row r="28" spans="1:24" x14ac:dyDescent="0.2">
      <c r="A28">
        <v>1944</v>
      </c>
      <c r="B28" s="490">
        <f t="shared" si="0"/>
        <v>21</v>
      </c>
      <c r="C28" s="486">
        <f t="shared" si="1"/>
        <v>1.7142857142857144E-2</v>
      </c>
      <c r="D28" s="486">
        <f>'Age Profile'!O37</f>
        <v>0</v>
      </c>
      <c r="E28" s="737">
        <f>'Age Profile'!L37</f>
        <v>0</v>
      </c>
      <c r="F28" s="468">
        <f t="shared" si="2"/>
        <v>17.813970199460368</v>
      </c>
      <c r="G28" s="486">
        <f t="shared" si="4"/>
        <v>2.7374022937629635E-3</v>
      </c>
      <c r="L28" s="468">
        <v>21</v>
      </c>
      <c r="M28" s="486">
        <f t="shared" si="5"/>
        <v>0</v>
      </c>
      <c r="Q28" s="444">
        <v>10.055</v>
      </c>
      <c r="R28" s="429">
        <f t="shared" si="9"/>
        <v>2.3547073048978146E-2</v>
      </c>
      <c r="S28" s="534">
        <f t="shared" si="10"/>
        <v>2.7374022937629431E-3</v>
      </c>
      <c r="U28" s="431">
        <f t="shared" si="6"/>
        <v>0</v>
      </c>
      <c r="V28" s="431">
        <f t="shared" si="7"/>
        <v>2.7374022937629431E-3</v>
      </c>
      <c r="W28" s="444">
        <f t="shared" si="3"/>
        <v>17.813970199460368</v>
      </c>
      <c r="X28" s="429">
        <f t="shared" si="8"/>
        <v>2.7374022937629635E-3</v>
      </c>
    </row>
    <row r="29" spans="1:24" x14ac:dyDescent="0.2">
      <c r="A29">
        <v>1945</v>
      </c>
      <c r="B29" s="490">
        <f t="shared" si="0"/>
        <v>22</v>
      </c>
      <c r="C29" s="486">
        <f t="shared" si="1"/>
        <v>1.7959183673469388E-2</v>
      </c>
      <c r="D29" s="486">
        <f>'Age Profile'!O38</f>
        <v>0</v>
      </c>
      <c r="E29" s="737">
        <f>'Age Profile'!L38</f>
        <v>0</v>
      </c>
      <c r="F29" s="468">
        <f t="shared" si="2"/>
        <v>18.713410578379424</v>
      </c>
      <c r="G29" s="486">
        <f t="shared" si="4"/>
        <v>4.9257417928655942E-2</v>
      </c>
      <c r="L29" s="468">
        <v>22</v>
      </c>
      <c r="M29" s="486">
        <f t="shared" si="5"/>
        <v>4.6520015634892907E-2</v>
      </c>
      <c r="Q29" s="444">
        <v>10.308</v>
      </c>
      <c r="R29" s="429">
        <f t="shared" si="9"/>
        <v>2.4850269565503253E-2</v>
      </c>
      <c r="S29" s="534">
        <f t="shared" si="10"/>
        <v>2.7374022937629431E-3</v>
      </c>
      <c r="U29" s="431">
        <f t="shared" si="6"/>
        <v>4.6520015634892907E-2</v>
      </c>
      <c r="V29" s="431">
        <f t="shared" si="7"/>
        <v>4.9257417928655851E-2</v>
      </c>
      <c r="W29" s="444">
        <f t="shared" si="3"/>
        <v>18.713410578379424</v>
      </c>
      <c r="X29" s="429">
        <f t="shared" si="8"/>
        <v>4.9257417928655942E-2</v>
      </c>
    </row>
    <row r="30" spans="1:24" x14ac:dyDescent="0.2">
      <c r="A30">
        <v>1946</v>
      </c>
      <c r="B30" s="490">
        <f t="shared" si="0"/>
        <v>23</v>
      </c>
      <c r="C30" s="486">
        <f t="shared" si="1"/>
        <v>1.8775510204081632E-2</v>
      </c>
      <c r="D30" s="486">
        <f>'Age Profile'!O39</f>
        <v>2.6480676597694319E-2</v>
      </c>
      <c r="E30" s="737">
        <f>'Age Profile'!L39</f>
        <v>2.8670447385003149E-2</v>
      </c>
      <c r="F30" s="468">
        <f t="shared" si="2"/>
        <v>21.323530555349695</v>
      </c>
      <c r="G30" s="486">
        <f t="shared" si="4"/>
        <v>0.13057077380364793</v>
      </c>
      <c r="L30" s="468">
        <v>25</v>
      </c>
      <c r="M30" s="486">
        <f t="shared" si="5"/>
        <v>0.127833371509885</v>
      </c>
      <c r="Q30" s="444">
        <v>11.603</v>
      </c>
      <c r="R30" s="429">
        <f t="shared" si="9"/>
        <v>0.11834339257528974</v>
      </c>
      <c r="S30" s="534">
        <f t="shared" si="10"/>
        <v>2.7374022937629431E-3</v>
      </c>
      <c r="U30" s="431">
        <f t="shared" si="6"/>
        <v>0.127833371509885</v>
      </c>
      <c r="V30" s="431">
        <f t="shared" si="7"/>
        <v>0.13057077380364793</v>
      </c>
      <c r="W30" s="444">
        <f t="shared" si="3"/>
        <v>21.323530555349695</v>
      </c>
      <c r="X30" s="429">
        <f t="shared" si="8"/>
        <v>0.13057077380364793</v>
      </c>
    </row>
    <row r="31" spans="1:24" x14ac:dyDescent="0.2">
      <c r="A31">
        <v>1947</v>
      </c>
      <c r="B31" s="490">
        <f t="shared" si="0"/>
        <v>24</v>
      </c>
      <c r="C31" s="486">
        <f t="shared" si="1"/>
        <v>1.9591836734693877E-2</v>
      </c>
      <c r="D31" s="486">
        <f>'Age Profile'!O40</f>
        <v>0</v>
      </c>
      <c r="E31" s="737">
        <f>'Age Profile'!L40</f>
        <v>0</v>
      </c>
      <c r="F31" s="468">
        <f t="shared" si="2"/>
        <v>24.803098658689393</v>
      </c>
      <c r="G31" s="486">
        <f t="shared" si="4"/>
        <v>0.15115740741203618</v>
      </c>
      <c r="L31" s="468">
        <v>29</v>
      </c>
      <c r="M31" s="486">
        <f t="shared" si="5"/>
        <v>0.14842000511827322</v>
      </c>
      <c r="Q31" s="444">
        <v>12.903</v>
      </c>
      <c r="R31" s="429">
        <f t="shared" si="9"/>
        <v>0.10619615710430068</v>
      </c>
      <c r="S31" s="534">
        <f t="shared" si="10"/>
        <v>2.7374022937629431E-3</v>
      </c>
      <c r="U31" s="431">
        <f t="shared" si="6"/>
        <v>0.14842000511827322</v>
      </c>
      <c r="V31" s="431">
        <f t="shared" si="7"/>
        <v>0.15115740741203615</v>
      </c>
      <c r="W31" s="444">
        <f t="shared" si="3"/>
        <v>24.803098658689393</v>
      </c>
      <c r="X31" s="429">
        <f t="shared" si="8"/>
        <v>0.15115740741203618</v>
      </c>
    </row>
    <row r="32" spans="1:24" x14ac:dyDescent="0.2">
      <c r="A32">
        <v>1948</v>
      </c>
      <c r="B32" s="490">
        <f t="shared" si="0"/>
        <v>25</v>
      </c>
      <c r="C32" s="486">
        <f t="shared" si="1"/>
        <v>2.0408163265306121E-2</v>
      </c>
      <c r="D32" s="486">
        <f>'Age Profile'!O41</f>
        <v>2.8972720631028893E-2</v>
      </c>
      <c r="E32" s="737">
        <f>'Age Profile'!L41</f>
        <v>3.0088216761184627E-2</v>
      </c>
      <c r="F32" s="468">
        <f t="shared" si="2"/>
        <v>28.301582591719672</v>
      </c>
      <c r="G32" s="486">
        <f t="shared" si="4"/>
        <v>0.13194913377376918</v>
      </c>
      <c r="L32" s="468">
        <v>33</v>
      </c>
      <c r="M32" s="486">
        <f t="shared" si="5"/>
        <v>0.12921173148000625</v>
      </c>
      <c r="Q32" s="444">
        <v>13.629</v>
      </c>
      <c r="R32" s="429">
        <f t="shared" si="9"/>
        <v>5.4740032975666847E-2</v>
      </c>
      <c r="S32" s="534">
        <f t="shared" si="10"/>
        <v>2.7374022937629431E-3</v>
      </c>
      <c r="U32" s="431">
        <f t="shared" si="6"/>
        <v>0.12921173148000625</v>
      </c>
      <c r="V32" s="431">
        <f t="shared" si="7"/>
        <v>0.13194913377376918</v>
      </c>
      <c r="W32" s="444">
        <f t="shared" si="3"/>
        <v>28.301582591719672</v>
      </c>
      <c r="X32" s="429">
        <f t="shared" si="8"/>
        <v>0.13194913377376918</v>
      </c>
    </row>
    <row r="33" spans="1:24" x14ac:dyDescent="0.2">
      <c r="A33">
        <v>1949</v>
      </c>
      <c r="B33" s="490">
        <f t="shared" si="0"/>
        <v>26</v>
      </c>
      <c r="C33" s="486">
        <f t="shared" si="1"/>
        <v>2.1224489795918369E-2</v>
      </c>
      <c r="D33" s="486">
        <f>'Age Profile'!O42</f>
        <v>0</v>
      </c>
      <c r="E33" s="737">
        <f>'Age Profile'!L42</f>
        <v>0</v>
      </c>
      <c r="F33" s="468">
        <f t="shared" si="2"/>
        <v>29.239136134984086</v>
      </c>
      <c r="G33" s="486">
        <f t="shared" si="4"/>
        <v>3.2590365443444159E-2</v>
      </c>
      <c r="L33" s="468">
        <v>34</v>
      </c>
      <c r="M33" s="486">
        <f t="shared" si="5"/>
        <v>2.9852963149681128E-2</v>
      </c>
      <c r="Q33" s="444">
        <v>13.622</v>
      </c>
      <c r="R33" s="429">
        <f t="shared" si="9"/>
        <v>-5.1374262624928938E-4</v>
      </c>
      <c r="S33" s="534">
        <f t="shared" si="10"/>
        <v>2.7374022937629431E-3</v>
      </c>
      <c r="U33" s="431">
        <f t="shared" si="6"/>
        <v>2.9852963149681128E-2</v>
      </c>
      <c r="V33" s="431">
        <f t="shared" si="7"/>
        <v>3.2590365443444069E-2</v>
      </c>
      <c r="W33" s="444">
        <f t="shared" si="3"/>
        <v>29.239136134984086</v>
      </c>
      <c r="X33" s="429">
        <f t="shared" si="8"/>
        <v>3.2590365443444159E-2</v>
      </c>
    </row>
    <row r="34" spans="1:24" x14ac:dyDescent="0.2">
      <c r="A34">
        <v>1950</v>
      </c>
      <c r="B34" s="490">
        <f t="shared" si="0"/>
        <v>27</v>
      </c>
      <c r="C34" s="486">
        <f t="shared" si="1"/>
        <v>2.2040816326530613E-2</v>
      </c>
      <c r="D34" s="486">
        <f>'Age Profile'!O43</f>
        <v>0.11335859430142281</v>
      </c>
      <c r="E34" s="737">
        <f>'Age Profile'!L43</f>
        <v>0.1131064902331443</v>
      </c>
      <c r="F34" s="468">
        <f t="shared" si="2"/>
        <v>30.181616976811991</v>
      </c>
      <c r="G34" s="486">
        <f t="shared" si="4"/>
        <v>3.1724939167015208E-2</v>
      </c>
      <c r="L34" s="468">
        <v>35</v>
      </c>
      <c r="M34" s="486">
        <f t="shared" si="5"/>
        <v>2.8987536873252187E-2</v>
      </c>
      <c r="Q34" s="444">
        <v>13.746</v>
      </c>
      <c r="R34" s="429">
        <f t="shared" si="9"/>
        <v>9.0617398802869068E-3</v>
      </c>
      <c r="S34" s="534">
        <f t="shared" si="10"/>
        <v>2.7374022937629431E-3</v>
      </c>
      <c r="U34" s="431">
        <f t="shared" si="6"/>
        <v>2.8987536873252187E-2</v>
      </c>
      <c r="V34" s="431">
        <f t="shared" si="7"/>
        <v>3.1724939167015132E-2</v>
      </c>
      <c r="W34" s="444">
        <f t="shared" si="3"/>
        <v>30.181616976811991</v>
      </c>
      <c r="X34" s="429">
        <f t="shared" si="8"/>
        <v>3.1724939167015208E-2</v>
      </c>
    </row>
    <row r="35" spans="1:24" x14ac:dyDescent="0.2">
      <c r="A35">
        <v>1951</v>
      </c>
      <c r="B35" s="490">
        <f t="shared" si="0"/>
        <v>28</v>
      </c>
      <c r="C35" s="486">
        <f t="shared" si="1"/>
        <v>2.2857142857142857E-2</v>
      </c>
      <c r="D35" s="486">
        <f>'Age Profile'!O44</f>
        <v>0</v>
      </c>
      <c r="E35" s="737">
        <f>'Age Profile'!L44</f>
        <v>0</v>
      </c>
      <c r="F35" s="468">
        <f t="shared" si="2"/>
        <v>32.858436479093434</v>
      </c>
      <c r="G35" s="486">
        <f t="shared" si="4"/>
        <v>8.4975500530734938E-2</v>
      </c>
      <c r="L35" s="468">
        <v>38</v>
      </c>
      <c r="M35" s="486">
        <f t="shared" si="5"/>
        <v>8.2238098236972007E-2</v>
      </c>
      <c r="Q35" s="444">
        <v>14.675000000000001</v>
      </c>
      <c r="R35" s="429">
        <f t="shared" si="9"/>
        <v>6.539749301474676E-2</v>
      </c>
      <c r="S35" s="534">
        <f t="shared" si="10"/>
        <v>2.7374022937629431E-3</v>
      </c>
      <c r="U35" s="431">
        <f t="shared" si="6"/>
        <v>8.2238098236972007E-2</v>
      </c>
      <c r="V35" s="431">
        <f t="shared" si="7"/>
        <v>8.4975500530734951E-2</v>
      </c>
      <c r="W35" s="444">
        <f t="shared" si="3"/>
        <v>32.858436479093434</v>
      </c>
      <c r="X35" s="429">
        <f t="shared" si="8"/>
        <v>8.4975500530734938E-2</v>
      </c>
    </row>
    <row r="36" spans="1:24" x14ac:dyDescent="0.2">
      <c r="A36">
        <v>1952</v>
      </c>
      <c r="B36" s="490">
        <f t="shared" si="0"/>
        <v>29</v>
      </c>
      <c r="C36" s="486">
        <f t="shared" si="1"/>
        <v>2.3673469387755101E-2</v>
      </c>
      <c r="D36" s="486">
        <f>'Age Profile'!O45</f>
        <v>3.9869608826479441E-2</v>
      </c>
      <c r="E36" s="737">
        <f>'Age Profile'!L45</f>
        <v>3.8279773156899809E-2</v>
      </c>
      <c r="F36" s="468">
        <f t="shared" si="2"/>
        <v>34.682638380131046</v>
      </c>
      <c r="G36" s="486">
        <f t="shared" si="4"/>
        <v>5.4030696681313412E-2</v>
      </c>
      <c r="L36" s="468">
        <v>40</v>
      </c>
      <c r="M36" s="486">
        <f t="shared" si="5"/>
        <v>5.1293294387550481E-2</v>
      </c>
      <c r="Q36" s="444">
        <v>14.996</v>
      </c>
      <c r="R36" s="429">
        <f t="shared" si="9"/>
        <v>2.1638133159505388E-2</v>
      </c>
      <c r="S36" s="534">
        <f t="shared" si="10"/>
        <v>2.7374022937629431E-3</v>
      </c>
      <c r="U36" s="431">
        <f t="shared" si="6"/>
        <v>5.1293294387550481E-2</v>
      </c>
      <c r="V36" s="431">
        <f t="shared" si="7"/>
        <v>5.4030696681313425E-2</v>
      </c>
      <c r="W36" s="444">
        <f t="shared" si="3"/>
        <v>34.682638380131046</v>
      </c>
      <c r="X36" s="429">
        <f t="shared" si="8"/>
        <v>5.4030696681313412E-2</v>
      </c>
    </row>
    <row r="37" spans="1:24" x14ac:dyDescent="0.2">
      <c r="A37">
        <v>1953</v>
      </c>
      <c r="B37" s="490">
        <f t="shared" si="0"/>
        <v>30</v>
      </c>
      <c r="C37" s="486">
        <f t="shared" si="1"/>
        <v>2.4489795918367346E-2</v>
      </c>
      <c r="D37" s="486">
        <f>'Age Profile'!O46</f>
        <v>0</v>
      </c>
      <c r="E37" s="737">
        <f>'Age Profile'!L46</f>
        <v>0</v>
      </c>
      <c r="F37" s="468">
        <f t="shared" si="2"/>
        <v>37.386036935900769</v>
      </c>
      <c r="G37" s="486">
        <f t="shared" si="4"/>
        <v>7.5058063873388953E-2</v>
      </c>
      <c r="L37" s="468">
        <v>43</v>
      </c>
      <c r="M37" s="486">
        <f t="shared" si="5"/>
        <v>7.2320661579626078E-2</v>
      </c>
      <c r="Q37" s="444">
        <v>15.19</v>
      </c>
      <c r="R37" s="429">
        <f t="shared" si="9"/>
        <v>1.2853817734015822E-2</v>
      </c>
      <c r="S37" s="534">
        <f t="shared" si="10"/>
        <v>2.7374022937629431E-3</v>
      </c>
      <c r="U37" s="431">
        <f t="shared" si="6"/>
        <v>7.2320661579626078E-2</v>
      </c>
      <c r="V37" s="431">
        <f t="shared" si="7"/>
        <v>7.5058063873389022E-2</v>
      </c>
      <c r="W37" s="444">
        <f t="shared" si="3"/>
        <v>37.386036935900769</v>
      </c>
      <c r="X37" s="429">
        <f t="shared" si="8"/>
        <v>7.5058063873388953E-2</v>
      </c>
    </row>
    <row r="38" spans="1:24" x14ac:dyDescent="0.2">
      <c r="A38">
        <v>1954</v>
      </c>
      <c r="B38" s="490">
        <f t="shared" si="0"/>
        <v>31</v>
      </c>
      <c r="C38" s="486">
        <f t="shared" si="1"/>
        <v>2.5306122448979593E-2</v>
      </c>
      <c r="D38" s="486">
        <f>'Age Profile'!O47</f>
        <v>0.25522555320281837</v>
      </c>
      <c r="E38" s="737">
        <f>'Age Profile'!L47</f>
        <v>0.2361373660995589</v>
      </c>
      <c r="F38" s="468">
        <f t="shared" si="2"/>
        <v>38.360343755229508</v>
      </c>
      <c r="G38" s="486">
        <f t="shared" si="4"/>
        <v>2.5726920518461628E-2</v>
      </c>
      <c r="L38" s="468">
        <v>44</v>
      </c>
      <c r="M38" s="486">
        <f t="shared" si="5"/>
        <v>2.2989518224698781E-2</v>
      </c>
      <c r="Q38" s="444">
        <v>15.346</v>
      </c>
      <c r="R38" s="429">
        <f t="shared" si="9"/>
        <v>1.0217537147792048E-2</v>
      </c>
      <c r="S38" s="534">
        <f t="shared" si="10"/>
        <v>2.7374022937629431E-3</v>
      </c>
      <c r="U38" s="431">
        <f t="shared" si="6"/>
        <v>2.2989518224698781E-2</v>
      </c>
      <c r="V38" s="431">
        <f t="shared" si="7"/>
        <v>2.5726920518461725E-2</v>
      </c>
      <c r="W38" s="444">
        <f t="shared" si="3"/>
        <v>38.360343755229508</v>
      </c>
      <c r="X38" s="429">
        <f t="shared" si="8"/>
        <v>2.5726920518461628E-2</v>
      </c>
    </row>
    <row r="39" spans="1:24" x14ac:dyDescent="0.2">
      <c r="A39">
        <v>1955</v>
      </c>
      <c r="B39" s="490">
        <f t="shared" si="0"/>
        <v>32</v>
      </c>
      <c r="C39" s="486">
        <f t="shared" si="1"/>
        <v>2.6122448979591838E-2</v>
      </c>
      <c r="D39" s="486">
        <f>'Age Profile'!O48</f>
        <v>0</v>
      </c>
      <c r="E39" s="737">
        <f>'Age Profile'!L48</f>
        <v>0</v>
      </c>
      <c r="F39" s="468">
        <f t="shared" si="2"/>
        <v>40.213926908306824</v>
      </c>
      <c r="G39" s="486">
        <f t="shared" si="4"/>
        <v>4.7189164864596754E-2</v>
      </c>
      <c r="L39" s="468">
        <v>46</v>
      </c>
      <c r="M39" s="486">
        <f t="shared" si="5"/>
        <v>4.4451762570833796E-2</v>
      </c>
      <c r="Q39" s="444">
        <v>15.566000000000001</v>
      </c>
      <c r="R39" s="429">
        <f t="shared" si="9"/>
        <v>1.4234194781722897E-2</v>
      </c>
      <c r="S39" s="534">
        <f t="shared" si="10"/>
        <v>2.7374022937629431E-3</v>
      </c>
      <c r="U39" s="431">
        <f t="shared" si="6"/>
        <v>4.4451762570833796E-2</v>
      </c>
      <c r="V39" s="431">
        <f t="shared" si="7"/>
        <v>4.718916486459674E-2</v>
      </c>
      <c r="W39" s="444">
        <f t="shared" si="3"/>
        <v>40.213926908306824</v>
      </c>
      <c r="X39" s="429">
        <f t="shared" si="8"/>
        <v>4.7189164864596754E-2</v>
      </c>
    </row>
    <row r="40" spans="1:24" x14ac:dyDescent="0.2">
      <c r="A40">
        <v>1956</v>
      </c>
      <c r="B40" s="490">
        <f t="shared" ref="B40:B56" si="11">49-(1972-A40)</f>
        <v>33</v>
      </c>
      <c r="C40" s="486">
        <f t="shared" ref="C40:C56" si="12">B40/$J$13</f>
        <v>2.6938775510204082E-2</v>
      </c>
      <c r="D40" s="486">
        <f>'Age Profile'!O49</f>
        <v>1.2881236301497085E-2</v>
      </c>
      <c r="E40" s="737">
        <f>'Age Profile'!L49</f>
        <v>1.1499684940138626E-2</v>
      </c>
      <c r="F40" s="468">
        <f t="shared" si="2"/>
        <v>43.830608054983387</v>
      </c>
      <c r="G40" s="486">
        <f t="shared" si="4"/>
        <v>8.6119011232814027E-2</v>
      </c>
      <c r="L40" s="468">
        <v>50</v>
      </c>
      <c r="M40" s="486">
        <f t="shared" si="5"/>
        <v>8.3381608939051E-2</v>
      </c>
      <c r="Q40" s="444">
        <v>16.100999999999999</v>
      </c>
      <c r="R40" s="429">
        <f t="shared" si="9"/>
        <v>3.3792333325605009E-2</v>
      </c>
      <c r="S40" s="534">
        <f t="shared" si="10"/>
        <v>2.7374022937629431E-3</v>
      </c>
      <c r="U40" s="431">
        <f t="shared" si="6"/>
        <v>8.3381608939051E-2</v>
      </c>
      <c r="V40" s="431">
        <f t="shared" si="7"/>
        <v>8.6119011232813944E-2</v>
      </c>
      <c r="W40" s="444">
        <f t="shared" si="3"/>
        <v>43.830608054983387</v>
      </c>
      <c r="X40" s="429">
        <f t="shared" si="8"/>
        <v>8.6119011232814027E-2</v>
      </c>
    </row>
    <row r="41" spans="1:24" x14ac:dyDescent="0.2">
      <c r="A41">
        <v>1957</v>
      </c>
      <c r="B41" s="490">
        <f t="shared" si="11"/>
        <v>34</v>
      </c>
      <c r="C41" s="486">
        <f t="shared" si="12"/>
        <v>2.7755102040816326E-2</v>
      </c>
      <c r="D41" s="486">
        <f>'Age Profile'!O50</f>
        <v>3.1241873769456519E-2</v>
      </c>
      <c r="E41" s="737">
        <f>'Age Profile'!L50</f>
        <v>2.7410207939508508E-2</v>
      </c>
      <c r="F41" s="468">
        <f t="shared" si="2"/>
        <v>46.587799697356402</v>
      </c>
      <c r="G41" s="486">
        <f t="shared" si="4"/>
        <v>6.1006310417738761E-2</v>
      </c>
      <c r="L41" s="468">
        <v>53</v>
      </c>
      <c r="M41" s="486">
        <f t="shared" si="5"/>
        <v>5.8268908123975824E-2</v>
      </c>
      <c r="Q41" s="444">
        <v>16.663</v>
      </c>
      <c r="R41" s="429">
        <f t="shared" si="9"/>
        <v>3.4309310693685056E-2</v>
      </c>
      <c r="S41" s="534">
        <f t="shared" si="10"/>
        <v>2.7374022937629431E-3</v>
      </c>
      <c r="U41" s="431">
        <f t="shared" si="6"/>
        <v>5.8268908123975824E-2</v>
      </c>
      <c r="V41" s="431">
        <f t="shared" si="7"/>
        <v>6.1006310417738768E-2</v>
      </c>
      <c r="W41" s="444">
        <f t="shared" si="3"/>
        <v>46.587799697356402</v>
      </c>
      <c r="X41" s="429">
        <f t="shared" si="8"/>
        <v>6.1006310417738761E-2</v>
      </c>
    </row>
    <row r="42" spans="1:24" x14ac:dyDescent="0.2">
      <c r="A42">
        <v>1958</v>
      </c>
      <c r="B42" s="490">
        <f t="shared" si="11"/>
        <v>35</v>
      </c>
      <c r="C42" s="486">
        <f t="shared" si="12"/>
        <v>2.8571428571428571E-2</v>
      </c>
      <c r="D42" s="486">
        <f>'Age Profile'!O51</f>
        <v>0.21990663348068901</v>
      </c>
      <c r="E42" s="737">
        <f>'Age Profile'!L51</f>
        <v>0.18966603654694392</v>
      </c>
      <c r="F42" s="468">
        <f t="shared" si="2"/>
        <v>48.478353162229681</v>
      </c>
      <c r="G42" s="486">
        <f t="shared" si="4"/>
        <v>3.9778673974111965E-2</v>
      </c>
      <c r="L42" s="468">
        <v>55</v>
      </c>
      <c r="M42" s="486">
        <f t="shared" si="5"/>
        <v>3.7041271680349076E-2</v>
      </c>
      <c r="Q42" s="444">
        <v>17.05</v>
      </c>
      <c r="R42" s="429">
        <f t="shared" si="9"/>
        <v>2.2959511173039446E-2</v>
      </c>
      <c r="S42" s="534">
        <f t="shared" si="10"/>
        <v>2.7374022937629431E-3</v>
      </c>
      <c r="U42" s="431">
        <f t="shared" si="6"/>
        <v>3.7041271680349076E-2</v>
      </c>
      <c r="V42" s="431">
        <f t="shared" si="7"/>
        <v>3.9778673974112021E-2</v>
      </c>
      <c r="W42" s="444">
        <f t="shared" si="3"/>
        <v>48.478353162229681</v>
      </c>
      <c r="X42" s="429">
        <f t="shared" si="8"/>
        <v>3.9778673974111965E-2</v>
      </c>
    </row>
    <row r="43" spans="1:24" x14ac:dyDescent="0.2">
      <c r="A43">
        <v>1959</v>
      </c>
      <c r="B43" s="490">
        <f t="shared" si="11"/>
        <v>36</v>
      </c>
      <c r="C43" s="486">
        <f t="shared" si="12"/>
        <v>2.9387755102040815E-2</v>
      </c>
      <c r="D43" s="486">
        <f>'Age Profile'!O52</f>
        <v>8.9156357962777242E-3</v>
      </c>
      <c r="E43" s="737">
        <f>'Age Profile'!L52</f>
        <v>7.5614366729678641E-3</v>
      </c>
      <c r="F43" s="468">
        <f t="shared" si="2"/>
        <v>50.378921160603916</v>
      </c>
      <c r="G43" s="486">
        <f t="shared" si="4"/>
        <v>3.8455484895842156E-2</v>
      </c>
      <c r="L43" s="468">
        <v>57</v>
      </c>
      <c r="M43" s="486">
        <f t="shared" si="5"/>
        <v>3.5718082602079246E-2</v>
      </c>
      <c r="Q43" s="444">
        <v>17.277000000000001</v>
      </c>
      <c r="R43" s="429">
        <f t="shared" si="9"/>
        <v>1.3225933463119319E-2</v>
      </c>
      <c r="S43" s="534">
        <f t="shared" si="10"/>
        <v>2.7374022937629431E-3</v>
      </c>
      <c r="U43" s="431">
        <f t="shared" si="6"/>
        <v>3.5718082602079246E-2</v>
      </c>
      <c r="V43" s="431">
        <f t="shared" si="7"/>
        <v>3.845548489584219E-2</v>
      </c>
      <c r="W43" s="444">
        <f t="shared" si="3"/>
        <v>50.378921160603916</v>
      </c>
      <c r="X43" s="429">
        <f t="shared" si="8"/>
        <v>3.8455484895842156E-2</v>
      </c>
    </row>
    <row r="44" spans="1:24" x14ac:dyDescent="0.2">
      <c r="A44">
        <v>1960</v>
      </c>
      <c r="B44" s="490">
        <f t="shared" si="11"/>
        <v>37</v>
      </c>
      <c r="C44" s="486">
        <f t="shared" si="12"/>
        <v>3.0204081632653063E-2</v>
      </c>
      <c r="D44" s="486">
        <f>'Age Profile'!O53</f>
        <v>0</v>
      </c>
      <c r="E44" s="737">
        <f>'Age Profile'!L53</f>
        <v>0</v>
      </c>
      <c r="F44" s="468">
        <f t="shared" si="2"/>
        <v>51.403280925510415</v>
      </c>
      <c r="G44" s="486">
        <f t="shared" si="4"/>
        <v>2.0129145005632263E-2</v>
      </c>
      <c r="L44" s="468">
        <v>58</v>
      </c>
      <c r="M44" s="486">
        <f t="shared" si="5"/>
        <v>1.7391742711869239E-2</v>
      </c>
      <c r="Q44" s="444">
        <v>17.515999999999998</v>
      </c>
      <c r="R44" s="429">
        <f t="shared" si="9"/>
        <v>1.3738611746506825E-2</v>
      </c>
      <c r="S44" s="534">
        <f t="shared" si="10"/>
        <v>2.7374022937629431E-3</v>
      </c>
      <c r="U44" s="431">
        <f t="shared" si="6"/>
        <v>1.7391742711869239E-2</v>
      </c>
      <c r="V44" s="431">
        <f t="shared" si="7"/>
        <v>2.0129145005632183E-2</v>
      </c>
      <c r="W44" s="444">
        <f t="shared" si="3"/>
        <v>51.403280925510415</v>
      </c>
      <c r="X44" s="429">
        <f t="shared" si="8"/>
        <v>2.0129145005632263E-2</v>
      </c>
    </row>
    <row r="45" spans="1:24" x14ac:dyDescent="0.2">
      <c r="A45">
        <v>1961</v>
      </c>
      <c r="B45" s="490">
        <f t="shared" si="11"/>
        <v>38</v>
      </c>
      <c r="C45" s="486">
        <f t="shared" si="12"/>
        <v>3.1020408163265307E-2</v>
      </c>
      <c r="D45" s="486">
        <f>'Age Profile'!O54</f>
        <v>3.4931956362915913E-2</v>
      </c>
      <c r="E45" s="737">
        <f>'Age Profile'!L54</f>
        <v>2.8670447385003149E-2</v>
      </c>
      <c r="F45" s="468">
        <f t="shared" si="2"/>
        <v>51.544185152412517</v>
      </c>
      <c r="G45" s="486">
        <f t="shared" si="4"/>
        <v>2.7374022937629635E-3</v>
      </c>
      <c r="L45" s="468">
        <v>58</v>
      </c>
      <c r="M45" s="486">
        <f t="shared" si="5"/>
        <v>0</v>
      </c>
      <c r="O45">
        <f>'GDP IPD Canada'!F15</f>
        <v>12.380940316369776</v>
      </c>
      <c r="Q45" s="444">
        <v>17.709</v>
      </c>
      <c r="R45" s="429">
        <f t="shared" si="9"/>
        <v>1.0958235987510091E-2</v>
      </c>
      <c r="S45" s="534">
        <f>$S$100</f>
        <v>2.7374022937629431E-3</v>
      </c>
      <c r="U45" s="431">
        <f t="shared" si="6"/>
        <v>0</v>
      </c>
      <c r="V45" s="431">
        <f t="shared" si="7"/>
        <v>2.7374022937629431E-3</v>
      </c>
      <c r="W45" s="444">
        <f t="shared" si="3"/>
        <v>51.544185152412517</v>
      </c>
      <c r="X45" s="429">
        <f t="shared" si="8"/>
        <v>2.7374022937629635E-3</v>
      </c>
    </row>
    <row r="46" spans="1:24" x14ac:dyDescent="0.2">
      <c r="A46">
        <v>1962</v>
      </c>
      <c r="B46" s="490">
        <f t="shared" si="11"/>
        <v>39</v>
      </c>
      <c r="C46" s="486">
        <f t="shared" si="12"/>
        <v>3.1836734693877551E-2</v>
      </c>
      <c r="D46" s="486">
        <f>'Age Profile'!O55</f>
        <v>0</v>
      </c>
      <c r="E46" s="737">
        <f>'Age Profile'!L55</f>
        <v>0</v>
      </c>
      <c r="F46" s="468">
        <f t="shared" si="2"/>
        <v>52.51404233942629</v>
      </c>
      <c r="G46" s="486">
        <f t="shared" si="4"/>
        <v>1.8641203011579503E-2</v>
      </c>
      <c r="L46" s="468">
        <v>59</v>
      </c>
      <c r="M46" s="486">
        <f t="shared" si="5"/>
        <v>1.709443335930004E-2</v>
      </c>
      <c r="O46">
        <f>'GDP IPD Canada'!F16</f>
        <v>12.552752444813651</v>
      </c>
      <c r="P46" s="429">
        <f t="shared" ref="P46:P77" si="13">LN(O46/O45)</f>
        <v>1.3781740998319081E-2</v>
      </c>
      <c r="Q46" s="444">
        <v>17.927</v>
      </c>
      <c r="R46" s="429">
        <f t="shared" ref="R46:R77" si="14">LN(Q46/Q45)</f>
        <v>1.2234971346039578E-2</v>
      </c>
      <c r="S46" s="430">
        <f t="shared" ref="S46:S65" si="15">P46-R46</f>
        <v>1.5467696522795029E-3</v>
      </c>
      <c r="U46" s="431">
        <f t="shared" si="6"/>
        <v>1.709443335930004E-2</v>
      </c>
      <c r="V46" s="431">
        <f t="shared" si="7"/>
        <v>1.8641203011579545E-2</v>
      </c>
      <c r="W46" s="444">
        <f t="shared" si="3"/>
        <v>52.51404233942629</v>
      </c>
      <c r="X46" s="429">
        <f t="shared" si="8"/>
        <v>1.8641203011579503E-2</v>
      </c>
    </row>
    <row r="47" spans="1:24" x14ac:dyDescent="0.2">
      <c r="A47">
        <v>1963</v>
      </c>
      <c r="B47" s="490">
        <f t="shared" si="11"/>
        <v>40</v>
      </c>
      <c r="C47" s="486">
        <f t="shared" si="12"/>
        <v>3.2653061224489799E-2</v>
      </c>
      <c r="D47" s="486">
        <f>'Age Profile'!O56</f>
        <v>0</v>
      </c>
      <c r="E47" s="737">
        <f>'Age Profile'!L56</f>
        <v>0</v>
      </c>
      <c r="F47" s="468">
        <f t="shared" si="2"/>
        <v>53.843504762993959</v>
      </c>
      <c r="G47" s="486">
        <f t="shared" si="4"/>
        <v>2.5001172148013083E-2</v>
      </c>
      <c r="L47" s="468">
        <v>60</v>
      </c>
      <c r="M47" s="486">
        <f t="shared" si="5"/>
        <v>1.6807118316381191E-2</v>
      </c>
      <c r="O47">
        <f>'GDP IPD Canada'!F17</f>
        <v>12.798640104548426</v>
      </c>
      <c r="P47" s="429">
        <f t="shared" si="13"/>
        <v>1.9398963606461646E-2</v>
      </c>
      <c r="Q47" s="444">
        <v>18.129000000000001</v>
      </c>
      <c r="R47" s="429">
        <f t="shared" si="14"/>
        <v>1.1204909774829677E-2</v>
      </c>
      <c r="S47" s="430">
        <f t="shared" si="15"/>
        <v>8.1940538316319696E-3</v>
      </c>
      <c r="U47" s="431">
        <f t="shared" si="6"/>
        <v>1.6807118316381191E-2</v>
      </c>
      <c r="V47" s="431">
        <f t="shared" si="7"/>
        <v>2.5001172148013159E-2</v>
      </c>
      <c r="W47" s="444">
        <f t="shared" si="3"/>
        <v>53.843504762993959</v>
      </c>
      <c r="X47" s="429">
        <f t="shared" si="8"/>
        <v>2.5001172148013083E-2</v>
      </c>
    </row>
    <row r="48" spans="1:24" x14ac:dyDescent="0.2">
      <c r="A48">
        <v>1964</v>
      </c>
      <c r="B48" s="490">
        <f t="shared" si="11"/>
        <v>41</v>
      </c>
      <c r="C48" s="486">
        <f t="shared" si="12"/>
        <v>3.346938775510204E-2</v>
      </c>
      <c r="D48" s="486">
        <f>'Age Profile'!O57</f>
        <v>0</v>
      </c>
      <c r="E48" s="737">
        <f>'Age Profile'!L57</f>
        <v>0</v>
      </c>
      <c r="F48" s="468">
        <f t="shared" si="2"/>
        <v>55.483830549748802</v>
      </c>
      <c r="G48" s="486">
        <f t="shared" si="4"/>
        <v>3.0009857745297956E-2</v>
      </c>
      <c r="L48" s="468">
        <v>61</v>
      </c>
      <c r="M48" s="486">
        <f t="shared" si="5"/>
        <v>1.6529301951210506E-2</v>
      </c>
      <c r="O48">
        <f>'GDP IPD Canada'!F18</f>
        <v>13.171266020397299</v>
      </c>
      <c r="P48" s="429">
        <f t="shared" si="13"/>
        <v>2.8698716797141019E-2</v>
      </c>
      <c r="Q48" s="444">
        <v>18.407</v>
      </c>
      <c r="R48" s="429">
        <f t="shared" si="14"/>
        <v>1.5218161003053666E-2</v>
      </c>
      <c r="S48" s="430">
        <f t="shared" si="15"/>
        <v>1.3480555794087353E-2</v>
      </c>
      <c r="U48" s="431">
        <f t="shared" si="6"/>
        <v>1.6529301951210506E-2</v>
      </c>
      <c r="V48" s="431">
        <f t="shared" si="7"/>
        <v>3.0009857745297859E-2</v>
      </c>
      <c r="W48" s="444">
        <f t="shared" si="3"/>
        <v>55.483830549748802</v>
      </c>
      <c r="X48" s="429">
        <f t="shared" si="8"/>
        <v>3.0009857745297956E-2</v>
      </c>
    </row>
    <row r="49" spans="1:24" x14ac:dyDescent="0.2">
      <c r="A49">
        <v>1965</v>
      </c>
      <c r="B49" s="490">
        <f t="shared" si="11"/>
        <v>42</v>
      </c>
      <c r="C49" s="486">
        <f t="shared" si="12"/>
        <v>3.4285714285714287E-2</v>
      </c>
      <c r="D49" s="486">
        <f>'Age Profile'!O58</f>
        <v>0</v>
      </c>
      <c r="E49" s="737">
        <f>'Age Profile'!L58</f>
        <v>0</v>
      </c>
      <c r="F49" s="468">
        <f t="shared" si="2"/>
        <v>57.388071072506627</v>
      </c>
      <c r="G49" s="486">
        <f t="shared" si="4"/>
        <v>3.3744823833009398E-2</v>
      </c>
      <c r="L49" s="468">
        <v>62</v>
      </c>
      <c r="M49" s="486">
        <f t="shared" si="5"/>
        <v>1.6260520871780326E-2</v>
      </c>
      <c r="O49">
        <f>'GDP IPD Canada'!F19</f>
        <v>13.648977595028949</v>
      </c>
      <c r="P49" s="429">
        <f t="shared" si="13"/>
        <v>3.5626977116138554E-2</v>
      </c>
      <c r="Q49" s="444">
        <v>18.744</v>
      </c>
      <c r="R49" s="429">
        <f t="shared" si="14"/>
        <v>1.8142674154909496E-2</v>
      </c>
      <c r="S49" s="430">
        <f t="shared" si="15"/>
        <v>1.7484302961229058E-2</v>
      </c>
      <c r="U49" s="431">
        <f t="shared" si="6"/>
        <v>1.6260520871780326E-2</v>
      </c>
      <c r="V49" s="431">
        <f t="shared" si="7"/>
        <v>3.3744823833009384E-2</v>
      </c>
      <c r="W49" s="444">
        <f t="shared" si="3"/>
        <v>57.388071072506627</v>
      </c>
      <c r="X49" s="429">
        <f t="shared" si="8"/>
        <v>3.3744823833009398E-2</v>
      </c>
    </row>
    <row r="50" spans="1:24" x14ac:dyDescent="0.2">
      <c r="A50">
        <v>1966</v>
      </c>
      <c r="B50" s="490">
        <f t="shared" si="11"/>
        <v>43</v>
      </c>
      <c r="C50" s="486">
        <f t="shared" si="12"/>
        <v>3.5102040816326528E-2</v>
      </c>
      <c r="D50" s="486">
        <f>'Age Profile'!O59</f>
        <v>0</v>
      </c>
      <c r="E50" s="737">
        <f>'Age Profile'!L59</f>
        <v>0</v>
      </c>
      <c r="F50" s="468">
        <f t="shared" si="2"/>
        <v>60.458691080750732</v>
      </c>
      <c r="G50" s="486">
        <f t="shared" si="4"/>
        <v>5.2123879083166375E-2</v>
      </c>
      <c r="L50" s="468">
        <v>64</v>
      </c>
      <c r="M50" s="486">
        <f t="shared" si="5"/>
        <v>3.174869831458027E-2</v>
      </c>
      <c r="O50">
        <f>'GDP IPD Canada'!F20</f>
        <v>14.321579735050173</v>
      </c>
      <c r="P50" s="429">
        <f t="shared" si="13"/>
        <v>4.8102854778875132E-2</v>
      </c>
      <c r="Q50" s="444">
        <v>19.271000000000001</v>
      </c>
      <c r="R50" s="429">
        <f t="shared" si="14"/>
        <v>2.7727674010289128E-2</v>
      </c>
      <c r="S50" s="430">
        <f t="shared" si="15"/>
        <v>2.0375180768586004E-2</v>
      </c>
      <c r="U50" s="431">
        <f t="shared" si="6"/>
        <v>3.174869831458027E-2</v>
      </c>
      <c r="V50" s="431">
        <f t="shared" si="7"/>
        <v>5.2123879083166277E-2</v>
      </c>
      <c r="W50" s="444">
        <f t="shared" si="3"/>
        <v>60.458691080750732</v>
      </c>
      <c r="X50" s="429">
        <f t="shared" si="8"/>
        <v>5.2123879083166375E-2</v>
      </c>
    </row>
    <row r="51" spans="1:24" x14ac:dyDescent="0.2">
      <c r="A51">
        <v>1967</v>
      </c>
      <c r="B51" s="490">
        <f t="shared" si="11"/>
        <v>44</v>
      </c>
      <c r="C51" s="486">
        <f t="shared" si="12"/>
        <v>3.5918367346938776E-2</v>
      </c>
      <c r="D51" s="486">
        <f>'Age Profile'!O60</f>
        <v>3.578637146005919E-2</v>
      </c>
      <c r="E51" s="737">
        <f>'Age Profile'!L60</f>
        <v>2.6780088216761186E-2</v>
      </c>
      <c r="F51" s="468">
        <f t="shared" si="2"/>
        <v>64.264153106800975</v>
      </c>
      <c r="G51" s="486">
        <f t="shared" si="4"/>
        <v>6.1041641560332774E-2</v>
      </c>
      <c r="L51" s="468">
        <v>67</v>
      </c>
      <c r="M51" s="486">
        <f t="shared" si="5"/>
        <v>4.5809536031294201E-2</v>
      </c>
      <c r="O51">
        <f>'GDP IPD Canada'!F21</f>
        <v>14.963958936933276</v>
      </c>
      <c r="P51" s="429">
        <f t="shared" si="13"/>
        <v>4.3877100216947677E-2</v>
      </c>
      <c r="Q51" s="444">
        <v>19.831</v>
      </c>
      <c r="R51" s="429">
        <f t="shared" si="14"/>
        <v>2.8644994687909105E-2</v>
      </c>
      <c r="S51" s="430">
        <f t="shared" si="15"/>
        <v>1.5232105529038573E-2</v>
      </c>
      <c r="U51" s="431">
        <f t="shared" si="6"/>
        <v>4.5809536031294201E-2</v>
      </c>
      <c r="V51" s="431">
        <f t="shared" si="7"/>
        <v>6.1041641560332774E-2</v>
      </c>
      <c r="W51" s="444">
        <f t="shared" si="3"/>
        <v>64.264153106800975</v>
      </c>
      <c r="X51" s="429">
        <f t="shared" si="8"/>
        <v>6.1041641560332774E-2</v>
      </c>
    </row>
    <row r="52" spans="1:24" x14ac:dyDescent="0.2">
      <c r="A52">
        <v>1968</v>
      </c>
      <c r="B52" s="490">
        <f t="shared" si="11"/>
        <v>45</v>
      </c>
      <c r="C52" s="486">
        <f t="shared" si="12"/>
        <v>3.6734693877551024E-2</v>
      </c>
      <c r="D52" s="486">
        <f>'Age Profile'!O61</f>
        <v>0</v>
      </c>
      <c r="E52" s="737">
        <f>'Age Profile'!L61</f>
        <v>0</v>
      </c>
      <c r="F52" s="468">
        <f t="shared" si="2"/>
        <v>67.070693749614904</v>
      </c>
      <c r="G52" s="486">
        <f t="shared" si="4"/>
        <v>4.2745212388434622E-2</v>
      </c>
      <c r="L52" s="468">
        <v>70</v>
      </c>
      <c r="M52" s="486">
        <f t="shared" si="5"/>
        <v>4.380262265839284E-2</v>
      </c>
      <c r="O52">
        <f>'GDP IPD Canada'!F22</f>
        <v>15.583577950958549</v>
      </c>
      <c r="P52" s="429">
        <f t="shared" si="13"/>
        <v>4.0573091972641931E-2</v>
      </c>
      <c r="Q52" s="444">
        <v>20.673999999999999</v>
      </c>
      <c r="R52" s="429">
        <f t="shared" si="14"/>
        <v>4.1630502242600148E-2</v>
      </c>
      <c r="S52" s="430">
        <f t="shared" si="15"/>
        <v>-1.0574102699582172E-3</v>
      </c>
      <c r="U52" s="431">
        <f t="shared" si="6"/>
        <v>4.380262265839284E-2</v>
      </c>
      <c r="V52" s="431">
        <f t="shared" si="7"/>
        <v>4.2745212388434622E-2</v>
      </c>
      <c r="W52" s="444">
        <f t="shared" si="3"/>
        <v>67.070693749614904</v>
      </c>
      <c r="X52" s="429">
        <f t="shared" si="8"/>
        <v>4.2745212388434622E-2</v>
      </c>
    </row>
    <row r="53" spans="1:24" x14ac:dyDescent="0.2">
      <c r="A53">
        <v>1969</v>
      </c>
      <c r="B53" s="490">
        <f t="shared" si="11"/>
        <v>46</v>
      </c>
      <c r="C53" s="486">
        <f t="shared" si="12"/>
        <v>3.7551020408163265E-2</v>
      </c>
      <c r="D53" s="486">
        <f>'Age Profile'!O62</f>
        <v>0</v>
      </c>
      <c r="E53" s="737">
        <f>'Age Profile'!L62</f>
        <v>0</v>
      </c>
      <c r="F53" s="468">
        <f t="shared" si="2"/>
        <v>71.802731262202371</v>
      </c>
      <c r="G53" s="486">
        <f t="shared" si="4"/>
        <v>6.8175321471023426E-2</v>
      </c>
      <c r="L53" s="468">
        <v>75</v>
      </c>
      <c r="M53" s="486">
        <f t="shared" si="5"/>
        <v>6.8992871486951421E-2</v>
      </c>
      <c r="O53">
        <f>'GDP IPD Canada'!F23</f>
        <v>16.336807160758553</v>
      </c>
      <c r="P53" s="429">
        <f t="shared" si="13"/>
        <v>4.7203005809277866E-2</v>
      </c>
      <c r="Q53" s="444">
        <v>21.690999999999999</v>
      </c>
      <c r="R53" s="429">
        <f t="shared" si="14"/>
        <v>4.8020555825205945E-2</v>
      </c>
      <c r="S53" s="430">
        <f t="shared" si="15"/>
        <v>-8.1755001592807852E-4</v>
      </c>
      <c r="U53" s="431">
        <f t="shared" si="6"/>
        <v>6.8992871486951421E-2</v>
      </c>
      <c r="V53" s="431">
        <f t="shared" si="7"/>
        <v>6.8175321471023342E-2</v>
      </c>
      <c r="W53" s="444">
        <f t="shared" si="3"/>
        <v>71.802731262202371</v>
      </c>
      <c r="X53" s="429">
        <f t="shared" si="8"/>
        <v>6.8175321471023426E-2</v>
      </c>
    </row>
    <row r="54" spans="1:24" x14ac:dyDescent="0.2">
      <c r="A54">
        <v>1970</v>
      </c>
      <c r="B54" s="490">
        <f t="shared" si="11"/>
        <v>47</v>
      </c>
      <c r="C54" s="486">
        <f t="shared" si="12"/>
        <v>3.8367346938775512E-2</v>
      </c>
      <c r="D54" s="486">
        <f>'Age Profile'!O63</f>
        <v>0</v>
      </c>
      <c r="E54" s="737">
        <f>'Age Profile'!L63</f>
        <v>0</v>
      </c>
      <c r="F54" s="468">
        <f t="shared" si="2"/>
        <v>75.96867463555445</v>
      </c>
      <c r="G54" s="486">
        <f t="shared" si="4"/>
        <v>5.6398564276325926E-2</v>
      </c>
      <c r="L54" s="468">
        <v>80</v>
      </c>
      <c r="M54" s="486">
        <f t="shared" si="5"/>
        <v>6.4538521137571164E-2</v>
      </c>
      <c r="O54">
        <f>'GDP IPD Canada'!F24</f>
        <v>17.059743783688674</v>
      </c>
      <c r="P54" s="429">
        <f t="shared" si="13"/>
        <v>4.3300853269268476E-2</v>
      </c>
      <c r="Q54" s="444">
        <v>22.835999999999999</v>
      </c>
      <c r="R54" s="429">
        <f t="shared" si="14"/>
        <v>5.1440810130513638E-2</v>
      </c>
      <c r="S54" s="430">
        <f t="shared" si="15"/>
        <v>-8.1399568612451623E-3</v>
      </c>
      <c r="U54" s="431">
        <f t="shared" si="6"/>
        <v>6.4538521137571164E-2</v>
      </c>
      <c r="V54" s="431">
        <f t="shared" si="7"/>
        <v>5.6398564276326002E-2</v>
      </c>
      <c r="W54" s="444">
        <f t="shared" si="3"/>
        <v>75.96867463555445</v>
      </c>
      <c r="X54" s="429">
        <f t="shared" si="8"/>
        <v>5.6398564276325926E-2</v>
      </c>
    </row>
    <row r="55" spans="1:24" x14ac:dyDescent="0.2">
      <c r="A55">
        <v>1971</v>
      </c>
      <c r="B55" s="490">
        <f t="shared" si="11"/>
        <v>48</v>
      </c>
      <c r="C55" s="486">
        <f t="shared" si="12"/>
        <v>3.9183673469387753E-2</v>
      </c>
      <c r="D55" s="486">
        <f>'Age Profile'!O64</f>
        <v>6.1072105204502403E-2</v>
      </c>
      <c r="E55" s="737">
        <f>'Age Profile'!L64</f>
        <v>4.3163201008191557E-2</v>
      </c>
      <c r="F55" s="468">
        <f t="shared" si="2"/>
        <v>82.401937494934856</v>
      </c>
      <c r="G55" s="486">
        <f t="shared" si="4"/>
        <v>8.1287870456487402E-2</v>
      </c>
      <c r="H55" s="18"/>
      <c r="I55" s="431"/>
      <c r="L55" s="468">
        <v>87</v>
      </c>
      <c r="M55" s="486">
        <f t="shared" si="5"/>
        <v>8.3881483980702026E-2</v>
      </c>
      <c r="O55">
        <f>'GDP IPD Canada'!F25</f>
        <v>17.879893647016953</v>
      </c>
      <c r="P55" s="429">
        <f t="shared" si="13"/>
        <v>4.695529816461929E-2</v>
      </c>
      <c r="Q55" s="444">
        <v>23.995999999999999</v>
      </c>
      <c r="R55" s="429">
        <f t="shared" si="14"/>
        <v>4.9548911688833894E-2</v>
      </c>
      <c r="S55" s="430">
        <f t="shared" si="15"/>
        <v>-2.5936135242146038E-3</v>
      </c>
      <c r="U55" s="431">
        <f t="shared" si="6"/>
        <v>8.3881483980702026E-2</v>
      </c>
      <c r="V55" s="431">
        <f t="shared" si="7"/>
        <v>8.1287870456487415E-2</v>
      </c>
      <c r="W55" s="444">
        <f t="shared" si="3"/>
        <v>82.401937494934856</v>
      </c>
      <c r="X55" s="429">
        <f t="shared" si="8"/>
        <v>8.1287870456487402E-2</v>
      </c>
    </row>
    <row r="56" spans="1:24" x14ac:dyDescent="0.2">
      <c r="A56" s="59">
        <v>1972</v>
      </c>
      <c r="B56" s="489">
        <f t="shared" si="11"/>
        <v>49</v>
      </c>
      <c r="C56" s="528">
        <f t="shared" si="12"/>
        <v>0.04</v>
      </c>
      <c r="D56" s="486">
        <f>'Age Profile'!O65</f>
        <v>0</v>
      </c>
      <c r="E56" s="737">
        <f>'Age Profile'!L65</f>
        <v>0</v>
      </c>
      <c r="F56" s="468">
        <f t="shared" si="2"/>
        <v>90.370769005625831</v>
      </c>
      <c r="G56" s="486">
        <f t="shared" si="4"/>
        <v>9.2311913473978963E-2</v>
      </c>
      <c r="H56" s="18"/>
      <c r="I56" s="431"/>
      <c r="L56" s="536">
        <v>94</v>
      </c>
      <c r="M56" s="486">
        <f t="shared" si="5"/>
        <v>7.7386663615420195E-2</v>
      </c>
      <c r="O56">
        <f>'GDP IPD Canada'!F26</f>
        <v>18.934577869143325</v>
      </c>
      <c r="P56" s="429">
        <f t="shared" si="13"/>
        <v>5.7312945849620309E-2</v>
      </c>
      <c r="Q56" s="444">
        <v>25.035</v>
      </c>
      <c r="R56" s="429">
        <f t="shared" si="14"/>
        <v>4.2387695991061444E-2</v>
      </c>
      <c r="S56" s="430">
        <f t="shared" si="15"/>
        <v>1.4925249858558864E-2</v>
      </c>
      <c r="U56" s="431">
        <f t="shared" si="6"/>
        <v>7.7386663615420195E-2</v>
      </c>
      <c r="V56" s="431">
        <f t="shared" si="7"/>
        <v>9.231191347397906E-2</v>
      </c>
      <c r="W56" s="444">
        <f>W57/EXP(V57)</f>
        <v>90.370769005625831</v>
      </c>
      <c r="X56" s="429">
        <f t="shared" si="8"/>
        <v>9.2311913473978963E-2</v>
      </c>
    </row>
    <row r="57" spans="1:24" x14ac:dyDescent="0.2">
      <c r="A57" s="461">
        <v>1973</v>
      </c>
      <c r="B57" s="529"/>
      <c r="C57" s="467"/>
      <c r="D57" s="467"/>
      <c r="E57" s="738"/>
      <c r="F57" s="468">
        <f t="shared" si="2"/>
        <v>100</v>
      </c>
      <c r="G57" s="486">
        <f t="shared" si="4"/>
        <v>0.10124932258707502</v>
      </c>
      <c r="L57" s="537">
        <v>100</v>
      </c>
      <c r="M57" s="486">
        <f t="shared" si="5"/>
        <v>6.1875403718087453E-2</v>
      </c>
      <c r="O57">
        <f>'GDP IPD Canada'!F27</f>
        <v>20.765673771835601</v>
      </c>
      <c r="P57" s="429">
        <f t="shared" si="13"/>
        <v>9.2311556608254672E-2</v>
      </c>
      <c r="Q57" s="444">
        <v>26.396000000000001</v>
      </c>
      <c r="R57" s="429">
        <f t="shared" si="14"/>
        <v>5.2937637739267157E-2</v>
      </c>
      <c r="S57" s="430">
        <f t="shared" si="15"/>
        <v>3.9373918868987515E-2</v>
      </c>
      <c r="U57" s="431">
        <f t="shared" si="6"/>
        <v>6.1875403718087453E-2</v>
      </c>
      <c r="V57" s="431">
        <f t="shared" si="7"/>
        <v>0.10124932258707497</v>
      </c>
      <c r="W57" s="444">
        <f>L57</f>
        <v>100</v>
      </c>
      <c r="X57" s="429">
        <f t="shared" si="8"/>
        <v>0.10124932258707502</v>
      </c>
    </row>
    <row r="58" spans="1:24" x14ac:dyDescent="0.2">
      <c r="A58" s="461">
        <v>1974</v>
      </c>
      <c r="B58" s="529"/>
      <c r="C58" s="467"/>
      <c r="D58" s="467">
        <f>SUM(D8:D56)</f>
        <v>1</v>
      </c>
      <c r="E58" s="738">
        <f>SUM(E8:E56)</f>
        <v>0.99999999999999989</v>
      </c>
      <c r="F58" s="468">
        <f t="shared" si="2"/>
        <v>122.68177329332504</v>
      </c>
      <c r="G58" s="486">
        <f t="shared" si="4"/>
        <v>0.20442360777792204</v>
      </c>
      <c r="L58" s="537">
        <v>116</v>
      </c>
      <c r="M58" s="486">
        <f t="shared" si="5"/>
        <v>0.14842000511827322</v>
      </c>
      <c r="O58">
        <f>'GDP IPD Canada'!F28</f>
        <v>23.928685659385</v>
      </c>
      <c r="P58" s="429">
        <f t="shared" si="13"/>
        <v>0.14177665199131953</v>
      </c>
      <c r="Q58" s="444">
        <v>28.76</v>
      </c>
      <c r="R58" s="429">
        <f t="shared" si="14"/>
        <v>8.5773049331670806E-2</v>
      </c>
      <c r="S58" s="430">
        <f t="shared" si="15"/>
        <v>5.6003602659648724E-2</v>
      </c>
      <c r="U58" s="431">
        <f t="shared" si="6"/>
        <v>0.14842000511827322</v>
      </c>
      <c r="V58" s="431">
        <f t="shared" si="7"/>
        <v>0.20442360777792196</v>
      </c>
      <c r="W58" s="444">
        <f>EXP(V58)*W57</f>
        <v>122.68177329332504</v>
      </c>
      <c r="X58" s="429">
        <f t="shared" si="8"/>
        <v>0.20442360777792204</v>
      </c>
    </row>
    <row r="59" spans="1:24" x14ac:dyDescent="0.2">
      <c r="A59" s="461">
        <v>1975</v>
      </c>
      <c r="B59" s="529"/>
      <c r="C59" s="467"/>
      <c r="D59" s="467"/>
      <c r="E59" s="467"/>
      <c r="F59" s="468">
        <f t="shared" si="2"/>
        <v>139.23310184664359</v>
      </c>
      <c r="G59" s="486">
        <f t="shared" si="4"/>
        <v>0.12655572648665903</v>
      </c>
      <c r="L59" s="537">
        <v>130</v>
      </c>
      <c r="M59" s="486">
        <f t="shared" si="5"/>
        <v>0.11394425934921769</v>
      </c>
      <c r="O59">
        <f>'GDP IPD Canada'!F29</f>
        <v>26.482882406313053</v>
      </c>
      <c r="P59" s="429">
        <f t="shared" si="13"/>
        <v>0.10142060132353305</v>
      </c>
      <c r="Q59" s="444">
        <v>31.431000000000001</v>
      </c>
      <c r="R59" s="429">
        <f t="shared" si="14"/>
        <v>8.8809134186091668E-2</v>
      </c>
      <c r="S59" s="430">
        <f t="shared" si="15"/>
        <v>1.2611467137441379E-2</v>
      </c>
      <c r="U59" s="431">
        <f t="shared" si="6"/>
        <v>0.11394425934921769</v>
      </c>
      <c r="V59" s="431">
        <f t="shared" si="7"/>
        <v>0.12655572648665908</v>
      </c>
      <c r="W59" s="444">
        <f t="shared" ref="W59:W98" si="16">EXP(V59)*W58</f>
        <v>139.23310184664359</v>
      </c>
      <c r="X59" s="429">
        <f t="shared" si="8"/>
        <v>0.12655572648665903</v>
      </c>
    </row>
    <row r="60" spans="1:24" x14ac:dyDescent="0.2">
      <c r="A60" s="461">
        <v>1976</v>
      </c>
      <c r="B60" s="529"/>
      <c r="C60" s="467"/>
      <c r="D60" s="467"/>
      <c r="E60" s="467"/>
      <c r="F60" s="468">
        <f t="shared" si="2"/>
        <v>150.1002240342855</v>
      </c>
      <c r="G60" s="486">
        <f t="shared" si="4"/>
        <v>7.5153710952488711E-2</v>
      </c>
      <c r="L60" s="537">
        <v>135</v>
      </c>
      <c r="M60" s="486">
        <f t="shared" si="5"/>
        <v>3.7740327982847113E-2</v>
      </c>
      <c r="O60">
        <f>'GDP IPD Canada'!F30</f>
        <v>29.002184333819503</v>
      </c>
      <c r="P60" s="429">
        <f t="shared" si="13"/>
        <v>9.0872571658779572E-2</v>
      </c>
      <c r="Q60" s="444">
        <v>33.156999999999996</v>
      </c>
      <c r="R60" s="429">
        <f t="shared" si="14"/>
        <v>5.3459188689138036E-2</v>
      </c>
      <c r="S60" s="430">
        <f t="shared" si="15"/>
        <v>3.7413382969641536E-2</v>
      </c>
      <c r="U60" s="431">
        <f t="shared" si="6"/>
        <v>3.7740327982847113E-2</v>
      </c>
      <c r="V60" s="431">
        <f t="shared" si="7"/>
        <v>7.5153710952488656E-2</v>
      </c>
      <c r="W60" s="444">
        <f t="shared" si="16"/>
        <v>150.1002240342855</v>
      </c>
      <c r="X60" s="429">
        <f t="shared" si="8"/>
        <v>7.5153710952488711E-2</v>
      </c>
    </row>
    <row r="61" spans="1:24" x14ac:dyDescent="0.2">
      <c r="A61" s="461">
        <v>1977</v>
      </c>
      <c r="B61" s="529"/>
      <c r="C61" s="467"/>
      <c r="D61" s="467"/>
      <c r="E61" s="467"/>
      <c r="F61" s="468">
        <f t="shared" si="2"/>
        <v>159.91199920366449</v>
      </c>
      <c r="G61" s="486">
        <f t="shared" si="4"/>
        <v>6.3320427743348631E-2</v>
      </c>
      <c r="L61" s="537">
        <v>143</v>
      </c>
      <c r="M61" s="486">
        <f t="shared" si="5"/>
        <v>5.7569851821477912E-2</v>
      </c>
      <c r="O61">
        <f>'GDP IPD Canada'!F31</f>
        <v>30.974664648672299</v>
      </c>
      <c r="P61" s="429">
        <f t="shared" si="13"/>
        <v>6.5798451935002777E-2</v>
      </c>
      <c r="Q61" s="444">
        <v>35.209000000000003</v>
      </c>
      <c r="R61" s="429">
        <f t="shared" si="14"/>
        <v>6.0047876013132113E-2</v>
      </c>
      <c r="S61" s="430">
        <f t="shared" si="15"/>
        <v>5.750575921870664E-3</v>
      </c>
      <c r="U61" s="431">
        <f t="shared" si="6"/>
        <v>5.7569851821477912E-2</v>
      </c>
      <c r="V61" s="431">
        <f t="shared" si="7"/>
        <v>6.3320427743348576E-2</v>
      </c>
      <c r="W61" s="444">
        <f t="shared" si="16"/>
        <v>159.91199920366449</v>
      </c>
      <c r="X61" s="429">
        <f t="shared" si="8"/>
        <v>6.3320427743348631E-2</v>
      </c>
    </row>
    <row r="62" spans="1:24" x14ac:dyDescent="0.2">
      <c r="A62" s="461">
        <v>1978</v>
      </c>
      <c r="B62" s="529"/>
      <c r="C62" s="467"/>
      <c r="D62" s="467"/>
      <c r="E62" s="467"/>
      <c r="F62" s="468">
        <f t="shared" si="2"/>
        <v>173.76160811942628</v>
      </c>
      <c r="G62" s="486">
        <f t="shared" si="4"/>
        <v>8.3060632585187436E-2</v>
      </c>
      <c r="L62" s="537">
        <v>156</v>
      </c>
      <c r="M62" s="486">
        <f t="shared" si="5"/>
        <v>8.7011376989629699E-2</v>
      </c>
      <c r="O62">
        <f>'GDP IPD Canada'!F32</f>
        <v>33.017792224904397</v>
      </c>
      <c r="P62" s="429">
        <f t="shared" si="13"/>
        <v>6.3876973562512374E-2</v>
      </c>
      <c r="Q62" s="444">
        <v>37.68</v>
      </c>
      <c r="R62" s="429">
        <f t="shared" si="14"/>
        <v>6.7827717966954637E-2</v>
      </c>
      <c r="S62" s="430">
        <f t="shared" si="15"/>
        <v>-3.9507444044422635E-3</v>
      </c>
      <c r="U62" s="431">
        <f t="shared" si="6"/>
        <v>8.7011376989629699E-2</v>
      </c>
      <c r="V62" s="431">
        <f t="shared" si="7"/>
        <v>8.3060632585187436E-2</v>
      </c>
      <c r="W62" s="444">
        <f t="shared" si="16"/>
        <v>173.76160811942628</v>
      </c>
      <c r="X62" s="429">
        <f t="shared" si="8"/>
        <v>8.3060632585187436E-2</v>
      </c>
    </row>
    <row r="63" spans="1:24" x14ac:dyDescent="0.2">
      <c r="A63" s="461">
        <v>1979</v>
      </c>
      <c r="B63" s="529"/>
      <c r="C63" s="467"/>
      <c r="D63" s="467"/>
      <c r="E63" s="467"/>
      <c r="F63" s="468">
        <f t="shared" si="2"/>
        <v>195.76588928441967</v>
      </c>
      <c r="G63" s="486">
        <f t="shared" si="4"/>
        <v>0.11923521135549114</v>
      </c>
      <c r="L63" s="537">
        <v>173</v>
      </c>
      <c r="M63" s="486">
        <f t="shared" si="5"/>
        <v>0.10343558724824195</v>
      </c>
      <c r="O63">
        <f>'GDP IPD Canada'!F33</f>
        <v>36.312197431701271</v>
      </c>
      <c r="P63" s="429">
        <f t="shared" si="13"/>
        <v>9.5107127728554078E-2</v>
      </c>
      <c r="Q63" s="444">
        <v>40.79</v>
      </c>
      <c r="R63" s="429">
        <f t="shared" si="14"/>
        <v>7.9307503621304787E-2</v>
      </c>
      <c r="S63" s="430">
        <f t="shared" si="15"/>
        <v>1.5799624107249291E-2</v>
      </c>
      <c r="U63" s="431">
        <f t="shared" si="6"/>
        <v>0.10343558724824195</v>
      </c>
      <c r="V63" s="431">
        <f t="shared" si="7"/>
        <v>0.11923521135549124</v>
      </c>
      <c r="W63" s="444">
        <f t="shared" si="16"/>
        <v>195.76588928441967</v>
      </c>
      <c r="X63" s="429">
        <f t="shared" si="8"/>
        <v>0.11923521135549114</v>
      </c>
    </row>
    <row r="64" spans="1:24" x14ac:dyDescent="0.2">
      <c r="A64" s="461">
        <v>1980</v>
      </c>
      <c r="B64" s="529"/>
      <c r="C64" s="467"/>
      <c r="D64" s="467"/>
      <c r="E64" s="467"/>
      <c r="F64" s="468">
        <f t="shared" si="2"/>
        <v>218.20769049583737</v>
      </c>
      <c r="G64" s="486">
        <f t="shared" si="4"/>
        <v>0.10852781505750947</v>
      </c>
      <c r="L64" s="537">
        <v>191</v>
      </c>
      <c r="M64" s="486">
        <f t="shared" si="5"/>
        <v>9.8981833548850984E-2</v>
      </c>
      <c r="O64">
        <f>'GDP IPD Canada'!F34</f>
        <v>39.976923708578397</v>
      </c>
      <c r="P64" s="429">
        <f t="shared" si="13"/>
        <v>9.61486781215182E-2</v>
      </c>
      <c r="Q64" s="444">
        <v>44.48</v>
      </c>
      <c r="R64" s="429">
        <f t="shared" si="14"/>
        <v>8.660269661285977E-2</v>
      </c>
      <c r="S64" s="430">
        <f t="shared" si="15"/>
        <v>9.5459815086584299E-3</v>
      </c>
      <c r="U64" s="431">
        <f t="shared" si="6"/>
        <v>9.8981833548850984E-2</v>
      </c>
      <c r="V64" s="431">
        <f t="shared" si="7"/>
        <v>0.10852781505750941</v>
      </c>
      <c r="W64" s="444">
        <f t="shared" si="16"/>
        <v>218.20769049583737</v>
      </c>
      <c r="X64" s="429">
        <f t="shared" si="8"/>
        <v>0.10852781505750947</v>
      </c>
    </row>
    <row r="65" spans="1:24" x14ac:dyDescent="0.2">
      <c r="A65" s="461">
        <v>1981</v>
      </c>
      <c r="B65" s="529"/>
      <c r="C65" s="467"/>
      <c r="D65" s="467"/>
      <c r="E65" s="467"/>
      <c r="F65" s="468">
        <f t="shared" si="2"/>
        <v>238.35097813036745</v>
      </c>
      <c r="G65" s="486">
        <f t="shared" si="4"/>
        <v>8.8296967452240166E-2</v>
      </c>
      <c r="L65" s="537">
        <v>206</v>
      </c>
      <c r="M65" s="486">
        <f t="shared" si="5"/>
        <v>7.5602740742951133E-2</v>
      </c>
      <c r="O65">
        <f>'GDP IPD Canada'!F35</f>
        <v>44.290632207729196</v>
      </c>
      <c r="P65" s="429">
        <f t="shared" si="13"/>
        <v>0.10247081175689178</v>
      </c>
      <c r="Q65" s="444">
        <v>48.658000000000001</v>
      </c>
      <c r="R65" s="429">
        <f t="shared" si="14"/>
        <v>8.9776585047602844E-2</v>
      </c>
      <c r="S65" s="430">
        <f t="shared" si="15"/>
        <v>1.2694226709288936E-2</v>
      </c>
      <c r="U65" s="431">
        <f t="shared" si="6"/>
        <v>7.5602740742951133E-2</v>
      </c>
      <c r="V65" s="431">
        <f t="shared" si="7"/>
        <v>8.8296967452240069E-2</v>
      </c>
      <c r="W65" s="444">
        <f t="shared" si="16"/>
        <v>238.35097813036745</v>
      </c>
      <c r="X65" s="429">
        <f t="shared" si="8"/>
        <v>8.8296967452240166E-2</v>
      </c>
    </row>
    <row r="66" spans="1:24" x14ac:dyDescent="0.2">
      <c r="A66" s="461">
        <v>1982</v>
      </c>
      <c r="B66" s="529"/>
      <c r="C66" s="467"/>
      <c r="D66" s="467"/>
      <c r="E66" s="467"/>
      <c r="F66" s="468">
        <f t="shared" si="2"/>
        <v>253.92292370744164</v>
      </c>
      <c r="G66" s="486">
        <f t="shared" si="4"/>
        <v>6.3286485598637671E-2</v>
      </c>
      <c r="L66" s="537">
        <v>214</v>
      </c>
      <c r="M66" s="486">
        <f t="shared" si="5"/>
        <v>3.8099846232270383E-2</v>
      </c>
      <c r="O66">
        <f>'GDP IPD Canada'!F36</f>
        <v>48.188975803176127</v>
      </c>
      <c r="P66" s="429">
        <f t="shared" si="13"/>
        <v>8.4357085009976268E-2</v>
      </c>
      <c r="Q66" s="444">
        <v>51.624000000000002</v>
      </c>
      <c r="R66" s="429">
        <f t="shared" si="14"/>
        <v>5.9170445643608925E-2</v>
      </c>
      <c r="S66" s="430">
        <f t="shared" ref="S66:S97" si="17">P66-R66</f>
        <v>2.5186639366367343E-2</v>
      </c>
      <c r="U66" s="431">
        <f t="shared" si="6"/>
        <v>3.8099846232270383E-2</v>
      </c>
      <c r="V66" s="431">
        <f t="shared" si="7"/>
        <v>6.3286485598637726E-2</v>
      </c>
      <c r="W66" s="444">
        <f t="shared" si="16"/>
        <v>253.92292370744164</v>
      </c>
      <c r="X66" s="429">
        <f t="shared" si="8"/>
        <v>6.3286485598637671E-2</v>
      </c>
    </row>
    <row r="67" spans="1:24" x14ac:dyDescent="0.2">
      <c r="A67" s="461">
        <v>1983</v>
      </c>
      <c r="B67" s="529"/>
      <c r="C67" s="467"/>
      <c r="D67" s="467"/>
      <c r="E67" s="467"/>
      <c r="F67" s="468">
        <f t="shared" si="2"/>
        <v>267.86674751848329</v>
      </c>
      <c r="G67" s="486">
        <f t="shared" si="4"/>
        <v>5.3458875111098404E-2</v>
      </c>
      <c r="L67" s="537">
        <v>222</v>
      </c>
      <c r="M67" s="486">
        <f t="shared" si="5"/>
        <v>3.6701366850427963E-2</v>
      </c>
      <c r="O67">
        <f>'GDP IPD Canada'!F37</f>
        <v>50.934050952136154</v>
      </c>
      <c r="P67" s="429">
        <f t="shared" si="13"/>
        <v>5.5401400219230929E-2</v>
      </c>
      <c r="Q67" s="444">
        <v>53.658000000000001</v>
      </c>
      <c r="R67" s="429">
        <f t="shared" si="14"/>
        <v>3.8643891958560418E-2</v>
      </c>
      <c r="S67" s="430">
        <f t="shared" si="17"/>
        <v>1.675750826067051E-2</v>
      </c>
      <c r="U67" s="431">
        <f t="shared" si="6"/>
        <v>3.6701366850427963E-2</v>
      </c>
      <c r="V67" s="431">
        <f t="shared" si="7"/>
        <v>5.3458875111098474E-2</v>
      </c>
      <c r="W67" s="444">
        <f t="shared" si="16"/>
        <v>267.86674751848329</v>
      </c>
      <c r="X67" s="429">
        <f t="shared" si="8"/>
        <v>5.3458875111098404E-2</v>
      </c>
    </row>
    <row r="68" spans="1:24" x14ac:dyDescent="0.2">
      <c r="A68" s="461">
        <v>1984</v>
      </c>
      <c r="B68" s="529"/>
      <c r="C68" s="467"/>
      <c r="D68" s="467"/>
      <c r="E68" s="467"/>
      <c r="F68" s="468">
        <f t="shared" si="2"/>
        <v>277.44269678814175</v>
      </c>
      <c r="G68" s="486">
        <f t="shared" si="4"/>
        <v>3.5124767693404294E-2</v>
      </c>
      <c r="L68" s="537">
        <v>230</v>
      </c>
      <c r="M68" s="486">
        <f t="shared" si="5"/>
        <v>3.5401927050916E-2</v>
      </c>
      <c r="O68">
        <f>'GDP IPD Canada'!F38</f>
        <v>52.7286765665133</v>
      </c>
      <c r="P68" s="429">
        <f t="shared" si="13"/>
        <v>3.4627777585532017E-2</v>
      </c>
      <c r="Q68" s="444">
        <v>55.564</v>
      </c>
      <c r="R68" s="429">
        <f t="shared" si="14"/>
        <v>3.4904936943043689E-2</v>
      </c>
      <c r="S68" s="430">
        <f t="shared" si="17"/>
        <v>-2.7715935751167209E-4</v>
      </c>
      <c r="U68" s="431">
        <f t="shared" si="6"/>
        <v>3.5401927050916E-2</v>
      </c>
      <c r="V68" s="431">
        <f t="shared" si="7"/>
        <v>3.5124767693404328E-2</v>
      </c>
      <c r="W68" s="444">
        <f t="shared" si="16"/>
        <v>277.44269678814175</v>
      </c>
      <c r="X68" s="429">
        <f t="shared" si="8"/>
        <v>3.5124767693404294E-2</v>
      </c>
    </row>
    <row r="69" spans="1:24" x14ac:dyDescent="0.2">
      <c r="A69" s="461">
        <v>1985</v>
      </c>
      <c r="B69" s="529"/>
      <c r="C69" s="467"/>
      <c r="D69" s="467"/>
      <c r="E69" s="467"/>
      <c r="F69" s="468">
        <f t="shared" si="2"/>
        <v>286.17746624557026</v>
      </c>
      <c r="G69" s="486">
        <f t="shared" si="4"/>
        <v>3.099771592835748E-2</v>
      </c>
      <c r="L69" s="537">
        <v>237</v>
      </c>
      <c r="M69" s="486">
        <f t="shared" si="5"/>
        <v>2.9980832211935857E-2</v>
      </c>
      <c r="O69">
        <f>'GDP IPD Canada'!F39</f>
        <v>54.470361564694173</v>
      </c>
      <c r="P69" s="429">
        <f t="shared" si="13"/>
        <v>3.2497274317008121E-2</v>
      </c>
      <c r="Q69" s="444">
        <v>57.341000000000001</v>
      </c>
      <c r="R69" s="429">
        <f t="shared" si="14"/>
        <v>3.1480390600586453E-2</v>
      </c>
      <c r="S69" s="430">
        <f t="shared" si="17"/>
        <v>1.0168837164216682E-3</v>
      </c>
      <c r="U69" s="431">
        <f t="shared" si="6"/>
        <v>2.9980832211935857E-2</v>
      </c>
      <c r="V69" s="431">
        <f t="shared" si="7"/>
        <v>3.0997715928357525E-2</v>
      </c>
      <c r="W69" s="444">
        <f t="shared" si="16"/>
        <v>286.17746624557026</v>
      </c>
      <c r="X69" s="429">
        <f t="shared" si="8"/>
        <v>3.099771592835748E-2</v>
      </c>
    </row>
    <row r="70" spans="1:24" x14ac:dyDescent="0.2">
      <c r="A70" s="461">
        <v>1986</v>
      </c>
      <c r="B70" s="529"/>
      <c r="C70" s="467"/>
      <c r="D70" s="467"/>
      <c r="E70" s="467"/>
      <c r="F70" s="468">
        <f t="shared" si="2"/>
        <v>295.17796308539448</v>
      </c>
      <c r="G70" s="486">
        <f t="shared" si="4"/>
        <v>3.0966309414638023E-2</v>
      </c>
      <c r="L70" s="537">
        <v>242</v>
      </c>
      <c r="M70" s="486">
        <f t="shared" si="5"/>
        <v>2.0877585021555178E-2</v>
      </c>
      <c r="O70">
        <f>'GDP IPD Canada'!F40</f>
        <v>56.138658861413198</v>
      </c>
      <c r="P70" s="429">
        <f t="shared" si="13"/>
        <v>3.0167952226003644E-2</v>
      </c>
      <c r="Q70" s="444">
        <v>58.503999999999998</v>
      </c>
      <c r="R70" s="429">
        <f t="shared" si="14"/>
        <v>2.0079227832920772E-2</v>
      </c>
      <c r="S70" s="430">
        <f t="shared" si="17"/>
        <v>1.0088724393082872E-2</v>
      </c>
      <c r="U70" s="431">
        <f t="shared" si="6"/>
        <v>2.0877585021555178E-2</v>
      </c>
      <c r="V70" s="431">
        <f t="shared" si="7"/>
        <v>3.096630941463805E-2</v>
      </c>
      <c r="W70" s="444">
        <f t="shared" si="16"/>
        <v>295.17796308539448</v>
      </c>
      <c r="X70" s="429">
        <f t="shared" si="8"/>
        <v>3.0966309414638023E-2</v>
      </c>
    </row>
    <row r="71" spans="1:24" x14ac:dyDescent="0.2">
      <c r="A71" s="461">
        <v>1987</v>
      </c>
      <c r="B71" s="529"/>
      <c r="C71" s="467"/>
      <c r="D71" s="467"/>
      <c r="E71" s="467"/>
      <c r="F71" s="468">
        <f t="shared" si="2"/>
        <v>310.49174589571345</v>
      </c>
      <c r="G71" s="486">
        <f t="shared" si="4"/>
        <v>5.0578878608494748E-2</v>
      </c>
      <c r="L71" s="537">
        <v>249</v>
      </c>
      <c r="M71" s="486">
        <f t="shared" si="5"/>
        <v>2.8515170308021233E-2</v>
      </c>
      <c r="O71">
        <f>'GDP IPD Canada'!F41</f>
        <v>58.794828682408955</v>
      </c>
      <c r="P71" s="429">
        <f t="shared" si="13"/>
        <v>4.6229221990886561E-2</v>
      </c>
      <c r="Q71" s="444">
        <v>59.935000000000002</v>
      </c>
      <c r="R71" s="429">
        <f t="shared" si="14"/>
        <v>2.4165513690413108E-2</v>
      </c>
      <c r="S71" s="430">
        <f t="shared" si="17"/>
        <v>2.2063708300473453E-2</v>
      </c>
      <c r="U71" s="431">
        <f t="shared" si="6"/>
        <v>2.8515170308021233E-2</v>
      </c>
      <c r="V71" s="431">
        <f t="shared" si="7"/>
        <v>5.0578878608494686E-2</v>
      </c>
      <c r="W71" s="444">
        <f t="shared" si="16"/>
        <v>310.49174589571345</v>
      </c>
      <c r="X71" s="429">
        <f t="shared" si="8"/>
        <v>5.0578878608494748E-2</v>
      </c>
    </row>
    <row r="72" spans="1:24" x14ac:dyDescent="0.2">
      <c r="A72" s="461">
        <v>1988</v>
      </c>
      <c r="B72" s="529"/>
      <c r="C72" s="467"/>
      <c r="D72" s="467"/>
      <c r="E72" s="467"/>
      <c r="F72" s="468">
        <f t="shared" si="2"/>
        <v>326.79175152733268</v>
      </c>
      <c r="G72" s="486">
        <f t="shared" si="4"/>
        <v>5.1165804789300634E-2</v>
      </c>
      <c r="L72" s="537">
        <v>259.5</v>
      </c>
      <c r="M72" s="486">
        <f t="shared" si="5"/>
        <v>4.1303806141235792E-2</v>
      </c>
      <c r="O72">
        <f>'GDP IPD Canada'!F42</f>
        <v>61.458989940411797</v>
      </c>
      <c r="P72" s="429">
        <f t="shared" si="13"/>
        <v>4.4316218686208234E-2</v>
      </c>
      <c r="Q72" s="444">
        <v>62.036000000000001</v>
      </c>
      <c r="R72" s="429">
        <f t="shared" si="14"/>
        <v>3.4454220038143343E-2</v>
      </c>
      <c r="S72" s="430">
        <f t="shared" si="17"/>
        <v>9.8619986480648902E-3</v>
      </c>
      <c r="U72" s="431">
        <f t="shared" si="6"/>
        <v>4.1303806141235792E-2</v>
      </c>
      <c r="V72" s="431">
        <f t="shared" si="7"/>
        <v>5.1165804789300683E-2</v>
      </c>
      <c r="W72" s="444">
        <f t="shared" si="16"/>
        <v>326.79175152733268</v>
      </c>
      <c r="X72" s="429">
        <f t="shared" si="8"/>
        <v>5.1165804789300634E-2</v>
      </c>
    </row>
    <row r="73" spans="1:24" x14ac:dyDescent="0.2">
      <c r="A73" s="461">
        <v>1989</v>
      </c>
      <c r="B73" s="529"/>
      <c r="C73" s="467"/>
      <c r="D73" s="467"/>
      <c r="E73" s="467"/>
      <c r="F73" s="468">
        <f t="shared" ref="F73:F98" si="18">W73</f>
        <v>337.5275448711904</v>
      </c>
      <c r="G73" s="486">
        <f t="shared" si="4"/>
        <v>3.2323998872595031E-2</v>
      </c>
      <c r="L73" s="537">
        <v>266</v>
      </c>
      <c r="M73" s="486">
        <f t="shared" si="5"/>
        <v>2.4739606175755751E-2</v>
      </c>
      <c r="O73">
        <f>'GDP IPD Canada'!F43</f>
        <v>64.334648963712795</v>
      </c>
      <c r="P73" s="429">
        <f t="shared" si="13"/>
        <v>4.5728228095729913E-2</v>
      </c>
      <c r="Q73" s="444">
        <v>64.447999999999993</v>
      </c>
      <c r="R73" s="429">
        <f t="shared" si="14"/>
        <v>3.8143835398890595E-2</v>
      </c>
      <c r="S73" s="430">
        <f t="shared" si="17"/>
        <v>7.5843926968393177E-3</v>
      </c>
      <c r="U73" s="431">
        <f t="shared" si="6"/>
        <v>2.4739606175755751E-2</v>
      </c>
      <c r="V73" s="431">
        <f t="shared" si="7"/>
        <v>3.2323998872595072E-2</v>
      </c>
      <c r="W73" s="444">
        <f t="shared" si="16"/>
        <v>337.5275448711904</v>
      </c>
      <c r="X73" s="429">
        <f t="shared" si="8"/>
        <v>3.2323998872595031E-2</v>
      </c>
    </row>
    <row r="74" spans="1:24" x14ac:dyDescent="0.2">
      <c r="A74" s="461">
        <v>1990</v>
      </c>
      <c r="B74" s="529"/>
      <c r="C74" s="467"/>
      <c r="D74" s="467"/>
      <c r="E74" s="467"/>
      <c r="F74" s="468">
        <f t="shared" si="18"/>
        <v>341.20818303562589</v>
      </c>
      <c r="G74" s="486">
        <f t="shared" ref="G74:G98" si="19">LN(F74/F73)</f>
        <v>1.0845677020055166E-2</v>
      </c>
      <c r="L74" s="537">
        <v>269.75</v>
      </c>
      <c r="M74" s="486">
        <f t="shared" ref="M74:M98" si="20">LN(L74/L73)</f>
        <v>1.3999295356544986E-2</v>
      </c>
      <c r="O74">
        <f>'GDP IPD Canada'!F44</f>
        <v>66.513351338987377</v>
      </c>
      <c r="P74" s="429">
        <f t="shared" si="13"/>
        <v>3.3304349283827091E-2</v>
      </c>
      <c r="Q74" s="444">
        <v>66.840999999999994</v>
      </c>
      <c r="R74" s="429">
        <f t="shared" si="14"/>
        <v>3.6457967620316806E-2</v>
      </c>
      <c r="S74" s="430">
        <f t="shared" si="17"/>
        <v>-3.153618336489715E-3</v>
      </c>
      <c r="U74" s="431">
        <f t="shared" ref="U74:U98" si="21">M74</f>
        <v>1.3999295356544986E-2</v>
      </c>
      <c r="V74" s="431">
        <f t="shared" ref="V74:V98" si="22">U74+S74</f>
        <v>1.0845677020055271E-2</v>
      </c>
      <c r="W74" s="444">
        <f t="shared" si="16"/>
        <v>341.20818303562589</v>
      </c>
      <c r="X74" s="429">
        <f t="shared" ref="X74:X98" si="23">LN(W74/W73)</f>
        <v>1.0845677020055166E-2</v>
      </c>
    </row>
    <row r="75" spans="1:24" x14ac:dyDescent="0.2">
      <c r="A75" s="461">
        <v>1991</v>
      </c>
      <c r="B75" s="529"/>
      <c r="C75" s="467"/>
      <c r="D75" s="467"/>
      <c r="E75" s="467"/>
      <c r="F75" s="468">
        <f t="shared" si="18"/>
        <v>342.89549138587614</v>
      </c>
      <c r="G75" s="486">
        <f t="shared" si="19"/>
        <v>4.9329124659450675E-3</v>
      </c>
      <c r="L75" s="537">
        <v>271.75</v>
      </c>
      <c r="M75" s="486">
        <f t="shared" si="20"/>
        <v>7.3869218630747734E-3</v>
      </c>
      <c r="O75">
        <f>'GDP IPD Canada'!F45</f>
        <v>68.550059634038206</v>
      </c>
      <c r="P75" s="429">
        <f t="shared" si="13"/>
        <v>3.0161576418204241E-2</v>
      </c>
      <c r="Q75" s="444">
        <v>69.057000000000002</v>
      </c>
      <c r="R75" s="429">
        <f t="shared" si="14"/>
        <v>3.2615585815333858E-2</v>
      </c>
      <c r="S75" s="430">
        <f t="shared" si="17"/>
        <v>-2.4540093971296174E-3</v>
      </c>
      <c r="U75" s="431">
        <f t="shared" si="21"/>
        <v>7.3869218630747734E-3</v>
      </c>
      <c r="V75" s="431">
        <f t="shared" si="22"/>
        <v>4.932912465945156E-3</v>
      </c>
      <c r="W75" s="444">
        <f t="shared" si="16"/>
        <v>342.89549138587614</v>
      </c>
      <c r="X75" s="429">
        <f t="shared" si="23"/>
        <v>4.9329124659450675E-3</v>
      </c>
    </row>
    <row r="76" spans="1:24" x14ac:dyDescent="0.2">
      <c r="A76" s="461">
        <v>1992</v>
      </c>
      <c r="B76" s="529"/>
      <c r="C76" s="467"/>
      <c r="D76" s="467"/>
      <c r="E76" s="467"/>
      <c r="F76" s="468">
        <f t="shared" si="18"/>
        <v>345.56545784699756</v>
      </c>
      <c r="G76" s="486">
        <f t="shared" si="19"/>
        <v>7.7563726738835463E-3</v>
      </c>
      <c r="L76" s="537">
        <v>276</v>
      </c>
      <c r="M76" s="486">
        <f t="shared" si="20"/>
        <v>1.5518339715831123E-2</v>
      </c>
      <c r="O76">
        <f>'GDP IPD Canada'!F46</f>
        <v>69.571385711348654</v>
      </c>
      <c r="P76" s="429">
        <f t="shared" si="13"/>
        <v>1.4789082025586301E-2</v>
      </c>
      <c r="Q76" s="444">
        <v>70.632000000000005</v>
      </c>
      <c r="R76" s="429">
        <f t="shared" si="14"/>
        <v>2.2551049067533906E-2</v>
      </c>
      <c r="S76" s="430">
        <f t="shared" si="17"/>
        <v>-7.7619670419476049E-3</v>
      </c>
      <c r="U76" s="431">
        <f t="shared" si="21"/>
        <v>1.5518339715831123E-2</v>
      </c>
      <c r="V76" s="431">
        <f t="shared" si="22"/>
        <v>7.7563726738835177E-3</v>
      </c>
      <c r="W76" s="444">
        <f t="shared" si="16"/>
        <v>345.56545784699756</v>
      </c>
      <c r="X76" s="429">
        <f t="shared" si="23"/>
        <v>7.7563726738835463E-3</v>
      </c>
    </row>
    <row r="77" spans="1:24" x14ac:dyDescent="0.2">
      <c r="A77" s="461">
        <v>1993</v>
      </c>
      <c r="B77" s="529"/>
      <c r="C77" s="467"/>
      <c r="D77" s="467"/>
      <c r="E77" s="467"/>
      <c r="F77" s="468">
        <f t="shared" si="18"/>
        <v>355.30591278864244</v>
      </c>
      <c r="G77" s="486">
        <f t="shared" si="19"/>
        <v>2.7797060992425595E-2</v>
      </c>
      <c r="L77" s="537">
        <v>286.75</v>
      </c>
      <c r="M77" s="486">
        <f t="shared" si="20"/>
        <v>3.8209890292330073E-2</v>
      </c>
      <c r="O77">
        <f>'GDP IPD Canada'!F47</f>
        <v>70.491265293404126</v>
      </c>
      <c r="P77" s="429">
        <f t="shared" si="13"/>
        <v>1.3135447626509384E-2</v>
      </c>
      <c r="Q77" s="444">
        <v>72.314999999999998</v>
      </c>
      <c r="R77" s="429">
        <f t="shared" si="14"/>
        <v>2.3548276926413824E-2</v>
      </c>
      <c r="S77" s="430">
        <f t="shared" si="17"/>
        <v>-1.041282929990444E-2</v>
      </c>
      <c r="U77" s="431">
        <f t="shared" si="21"/>
        <v>3.8209890292330073E-2</v>
      </c>
      <c r="V77" s="431">
        <f t="shared" si="22"/>
        <v>2.7797060992425633E-2</v>
      </c>
      <c r="W77" s="444">
        <f t="shared" si="16"/>
        <v>355.30591278864244</v>
      </c>
      <c r="X77" s="429">
        <f t="shared" si="23"/>
        <v>2.7797060992425595E-2</v>
      </c>
    </row>
    <row r="78" spans="1:24" x14ac:dyDescent="0.2">
      <c r="A78" s="461">
        <v>1994</v>
      </c>
      <c r="B78" s="529"/>
      <c r="C78" s="467"/>
      <c r="D78" s="467"/>
      <c r="E78" s="467"/>
      <c r="F78" s="468">
        <f t="shared" si="18"/>
        <v>366.77895605240241</v>
      </c>
      <c r="G78" s="486">
        <f t="shared" si="19"/>
        <v>3.1780222446802807E-2</v>
      </c>
      <c r="L78" s="537">
        <v>298</v>
      </c>
      <c r="M78" s="486">
        <f t="shared" si="20"/>
        <v>3.8482730495924454E-2</v>
      </c>
      <c r="O78">
        <f>'GDP IPD Canada'!F48</f>
        <v>71.507638121410693</v>
      </c>
      <c r="P78" s="429">
        <f t="shared" ref="P78:P98" si="24">LN(O78/O77)</f>
        <v>1.4315465272302123E-2</v>
      </c>
      <c r="Q78" s="444">
        <v>73.850999999999999</v>
      </c>
      <c r="R78" s="429">
        <f t="shared" ref="R78" si="25">LN(Q78/Q77)</f>
        <v>2.1017973321423827E-2</v>
      </c>
      <c r="S78" s="430">
        <f t="shared" si="17"/>
        <v>-6.7025080491217044E-3</v>
      </c>
      <c r="U78" s="431">
        <f t="shared" si="21"/>
        <v>3.8482730495924454E-2</v>
      </c>
      <c r="V78" s="431">
        <f t="shared" si="22"/>
        <v>3.1780222446802751E-2</v>
      </c>
      <c r="W78" s="444">
        <f t="shared" si="16"/>
        <v>366.77895605240241</v>
      </c>
      <c r="X78" s="429">
        <f t="shared" si="23"/>
        <v>3.1780222446802807E-2</v>
      </c>
    </row>
    <row r="79" spans="1:24" x14ac:dyDescent="0.2">
      <c r="A79" s="461">
        <v>1995</v>
      </c>
      <c r="B79" s="529"/>
      <c r="C79" s="467"/>
      <c r="D79" s="467"/>
      <c r="E79" s="467"/>
      <c r="F79" s="468">
        <f t="shared" si="18"/>
        <v>377.82091347501932</v>
      </c>
      <c r="G79" s="486">
        <f t="shared" si="19"/>
        <v>2.9660942463097334E-2</v>
      </c>
      <c r="L79" s="537">
        <v>306.5</v>
      </c>
      <c r="M79" s="486">
        <f t="shared" si="20"/>
        <v>2.8124268870861627E-2</v>
      </c>
      <c r="O79">
        <f>'GDP IPD Canada'!F49</f>
        <v>73.112973503754475</v>
      </c>
      <c r="P79" s="429">
        <f t="shared" si="24"/>
        <v>2.2201556253008431E-2</v>
      </c>
      <c r="Q79" s="444">
        <v>75.393000000000001</v>
      </c>
      <c r="R79" s="429">
        <f t="shared" ref="R79:R98" si="26">LN(Q79/Q78)</f>
        <v>2.0664882660772717E-2</v>
      </c>
      <c r="S79" s="430">
        <f t="shared" si="17"/>
        <v>1.5366735922357141E-3</v>
      </c>
      <c r="U79" s="431">
        <f t="shared" si="21"/>
        <v>2.8124268870861627E-2</v>
      </c>
      <c r="V79" s="431">
        <f t="shared" si="22"/>
        <v>2.9660942463097341E-2</v>
      </c>
      <c r="W79" s="444">
        <f t="shared" si="16"/>
        <v>377.82091347501932</v>
      </c>
      <c r="X79" s="429">
        <f t="shared" si="23"/>
        <v>2.9660942463097334E-2</v>
      </c>
    </row>
    <row r="80" spans="1:24" x14ac:dyDescent="0.2">
      <c r="A80" s="461">
        <v>1996</v>
      </c>
      <c r="B80" s="529"/>
      <c r="C80" s="467"/>
      <c r="D80" s="467"/>
      <c r="E80" s="467"/>
      <c r="F80" s="468">
        <f t="shared" si="18"/>
        <v>388.02939499125745</v>
      </c>
      <c r="G80" s="486">
        <f t="shared" si="19"/>
        <v>2.6660787562679724E-2</v>
      </c>
      <c r="L80" s="537">
        <v>315</v>
      </c>
      <c r="M80" s="486">
        <f t="shared" si="20"/>
        <v>2.7354883449366933E-2</v>
      </c>
      <c r="O80">
        <f>'GDP IPD Canada'!F50</f>
        <v>74.393766820661682</v>
      </c>
      <c r="P80" s="429">
        <f t="shared" si="24"/>
        <v>1.736633191692041E-2</v>
      </c>
      <c r="Q80" s="444">
        <v>76.766999999999996</v>
      </c>
      <c r="R80" s="429">
        <f t="shared" si="26"/>
        <v>1.8060427803607556E-2</v>
      </c>
      <c r="S80" s="430">
        <f t="shared" si="17"/>
        <v>-6.9409588668714606E-4</v>
      </c>
      <c r="U80" s="431">
        <f t="shared" si="21"/>
        <v>2.7354883449366933E-2</v>
      </c>
      <c r="V80" s="431">
        <f t="shared" si="22"/>
        <v>2.6660787562679786E-2</v>
      </c>
      <c r="W80" s="444">
        <f t="shared" si="16"/>
        <v>388.02939499125745</v>
      </c>
      <c r="X80" s="429">
        <f t="shared" si="23"/>
        <v>2.6660787562679724E-2</v>
      </c>
    </row>
    <row r="81" spans="1:24" x14ac:dyDescent="0.2">
      <c r="A81" s="461">
        <v>1997</v>
      </c>
      <c r="B81" s="529"/>
      <c r="C81" s="467"/>
      <c r="D81" s="467"/>
      <c r="E81" s="467"/>
      <c r="F81" s="468">
        <f t="shared" si="18"/>
        <v>396.24501360342583</v>
      </c>
      <c r="G81" s="486">
        <f t="shared" si="19"/>
        <v>2.0951644105839971E-2</v>
      </c>
      <c r="L81" s="537">
        <v>323.5</v>
      </c>
      <c r="M81" s="486">
        <f t="shared" si="20"/>
        <v>2.6626475115322099E-2</v>
      </c>
      <c r="O81">
        <f>'GDP IPD Canada'!F51</f>
        <v>75.24570785939413</v>
      </c>
      <c r="P81" s="429">
        <f t="shared" si="24"/>
        <v>1.1386704551682284E-2</v>
      </c>
      <c r="Q81" s="444">
        <v>78.087999999999994</v>
      </c>
      <c r="R81" s="429">
        <f t="shared" si="26"/>
        <v>1.7061535561164461E-2</v>
      </c>
      <c r="S81" s="430">
        <f t="shared" si="17"/>
        <v>-5.6748310094821772E-3</v>
      </c>
      <c r="U81" s="431">
        <f t="shared" si="21"/>
        <v>2.6626475115322099E-2</v>
      </c>
      <c r="V81" s="431">
        <f t="shared" si="22"/>
        <v>2.0951644105839922E-2</v>
      </c>
      <c r="W81" s="444">
        <f t="shared" si="16"/>
        <v>396.24501360342583</v>
      </c>
      <c r="X81" s="429">
        <f t="shared" si="23"/>
        <v>2.0951644105839971E-2</v>
      </c>
    </row>
    <row r="82" spans="1:24" x14ac:dyDescent="0.2">
      <c r="A82" s="461">
        <v>1998</v>
      </c>
      <c r="B82" s="529"/>
      <c r="C82" s="467"/>
      <c r="D82" s="467"/>
      <c r="E82" s="467"/>
      <c r="F82" s="468">
        <f t="shared" si="18"/>
        <v>398.75057467206932</v>
      </c>
      <c r="G82" s="486">
        <f t="shared" si="19"/>
        <v>6.3033541356949246E-3</v>
      </c>
      <c r="L82" s="537">
        <v>329.75</v>
      </c>
      <c r="M82" s="486">
        <f t="shared" si="20"/>
        <v>1.9135677656468814E-2</v>
      </c>
      <c r="O82">
        <f>'GDP IPD Canada'!F52</f>
        <v>75.092063431515953</v>
      </c>
      <c r="P82" s="429">
        <f t="shared" si="24"/>
        <v>-2.0439904097475639E-3</v>
      </c>
      <c r="Q82" s="444">
        <v>78.935000000000002</v>
      </c>
      <c r="R82" s="429">
        <f t="shared" si="26"/>
        <v>1.0788333111026385E-2</v>
      </c>
      <c r="S82" s="430">
        <f t="shared" si="17"/>
        <v>-1.2832323520773948E-2</v>
      </c>
      <c r="U82" s="431">
        <f t="shared" si="21"/>
        <v>1.9135677656468814E-2</v>
      </c>
      <c r="V82" s="431">
        <f t="shared" si="22"/>
        <v>6.3033541356948657E-3</v>
      </c>
      <c r="W82" s="444">
        <f t="shared" si="16"/>
        <v>398.75057467206932</v>
      </c>
      <c r="X82" s="429">
        <f t="shared" si="23"/>
        <v>6.3033541356949246E-3</v>
      </c>
    </row>
    <row r="83" spans="1:24" x14ac:dyDescent="0.2">
      <c r="A83" s="461">
        <v>1999</v>
      </c>
      <c r="B83" s="529"/>
      <c r="C83" s="467"/>
      <c r="D83" s="467"/>
      <c r="E83" s="467"/>
      <c r="F83" s="468">
        <f t="shared" si="18"/>
        <v>409.47885562445003</v>
      </c>
      <c r="G83" s="486">
        <f t="shared" si="19"/>
        <v>2.6549172061395E-2</v>
      </c>
      <c r="L83" s="537">
        <v>337.25</v>
      </c>
      <c r="M83" s="486">
        <f t="shared" si="20"/>
        <v>2.2489703490441323E-2</v>
      </c>
      <c r="O83">
        <f>'GDP IPD Canada'!F53</f>
        <v>76.476875763861102</v>
      </c>
      <c r="P83" s="429">
        <f t="shared" si="24"/>
        <v>1.8273544361703517E-2</v>
      </c>
      <c r="Q83" s="444">
        <v>80.064999999999998</v>
      </c>
      <c r="R83" s="429">
        <f t="shared" si="26"/>
        <v>1.4214075790749819E-2</v>
      </c>
      <c r="S83" s="430">
        <f t="shared" si="17"/>
        <v>4.0594685709536976E-3</v>
      </c>
      <c r="U83" s="431">
        <f t="shared" si="21"/>
        <v>2.2489703490441323E-2</v>
      </c>
      <c r="V83" s="431">
        <f t="shared" si="22"/>
        <v>2.654917206139502E-2</v>
      </c>
      <c r="W83" s="444">
        <f t="shared" si="16"/>
        <v>409.47885562445003</v>
      </c>
      <c r="X83" s="429">
        <f t="shared" si="23"/>
        <v>2.6549172061395E-2</v>
      </c>
    </row>
    <row r="84" spans="1:24" x14ac:dyDescent="0.2">
      <c r="A84" s="461">
        <v>2000</v>
      </c>
      <c r="B84" s="529"/>
      <c r="C84" s="467"/>
      <c r="D84" s="467"/>
      <c r="E84" s="467"/>
      <c r="F84" s="468">
        <f t="shared" si="18"/>
        <v>430.15673106929069</v>
      </c>
      <c r="G84" s="486">
        <f t="shared" si="19"/>
        <v>4.9264365792483736E-2</v>
      </c>
      <c r="L84" s="537">
        <v>347.5</v>
      </c>
      <c r="M84" s="486">
        <f t="shared" si="20"/>
        <v>2.9940169916981601E-2</v>
      </c>
      <c r="O84">
        <f>'GDP IPD Canada'!F54</f>
        <v>79.746327617714172</v>
      </c>
      <c r="P84" s="429">
        <f t="shared" si="24"/>
        <v>4.1862274383159037E-2</v>
      </c>
      <c r="Q84" s="444">
        <v>81.89</v>
      </c>
      <c r="R84" s="429">
        <f t="shared" si="26"/>
        <v>2.2538078507656899E-2</v>
      </c>
      <c r="S84" s="430">
        <f t="shared" si="17"/>
        <v>1.9324195875502138E-2</v>
      </c>
      <c r="U84" s="431">
        <f t="shared" si="21"/>
        <v>2.9940169916981601E-2</v>
      </c>
      <c r="V84" s="431">
        <f t="shared" si="22"/>
        <v>4.9264365792483736E-2</v>
      </c>
      <c r="W84" s="444">
        <f t="shared" si="16"/>
        <v>430.15673106929069</v>
      </c>
      <c r="X84" s="429">
        <f t="shared" si="23"/>
        <v>4.9264365792483736E-2</v>
      </c>
    </row>
    <row r="85" spans="1:24" x14ac:dyDescent="0.2">
      <c r="A85" s="461">
        <v>2001</v>
      </c>
      <c r="B85" s="529"/>
      <c r="C85" s="467"/>
      <c r="D85" s="467"/>
      <c r="E85" s="467"/>
      <c r="F85" s="468">
        <f t="shared" si="18"/>
        <v>436.38514478868342</v>
      </c>
      <c r="G85" s="486">
        <f t="shared" si="19"/>
        <v>1.4375579887858045E-2</v>
      </c>
      <c r="L85" s="537">
        <v>354.75</v>
      </c>
      <c r="M85" s="486">
        <f t="shared" si="20"/>
        <v>2.0648651035305134E-2</v>
      </c>
      <c r="O85">
        <f>'GDP IPD Canada'!F55</f>
        <v>81.052460693339754</v>
      </c>
      <c r="P85" s="429">
        <f t="shared" si="24"/>
        <v>1.6245915986105888E-2</v>
      </c>
      <c r="Q85" s="444">
        <v>83.754999999999995</v>
      </c>
      <c r="R85" s="429">
        <f t="shared" si="26"/>
        <v>2.2518987133552996E-2</v>
      </c>
      <c r="S85" s="430">
        <f t="shared" si="17"/>
        <v>-6.2730711474471082E-3</v>
      </c>
      <c r="U85" s="431">
        <f t="shared" si="21"/>
        <v>2.0648651035305134E-2</v>
      </c>
      <c r="V85" s="431">
        <f t="shared" si="22"/>
        <v>1.4375579887858026E-2</v>
      </c>
      <c r="W85" s="444">
        <f t="shared" si="16"/>
        <v>436.38514478868342</v>
      </c>
      <c r="X85" s="429">
        <f t="shared" si="23"/>
        <v>1.4375579887858045E-2</v>
      </c>
    </row>
    <row r="86" spans="1:24" x14ac:dyDescent="0.2">
      <c r="A86" s="461">
        <v>2002</v>
      </c>
      <c r="B86" s="529"/>
      <c r="C86" s="467"/>
      <c r="D86" s="467"/>
      <c r="E86" s="467"/>
      <c r="F86" s="468">
        <f t="shared" si="18"/>
        <v>444.51551618786721</v>
      </c>
      <c r="G86" s="486">
        <f t="shared" si="19"/>
        <v>1.845974838041535E-2</v>
      </c>
      <c r="L86" s="537">
        <v>362.5</v>
      </c>
      <c r="M86" s="486">
        <f t="shared" si="20"/>
        <v>2.1611158254577524E-2</v>
      </c>
      <c r="O86">
        <f>'GDP IPD Canada'!F56</f>
        <v>82.03705715080315</v>
      </c>
      <c r="P86" s="429">
        <f t="shared" si="24"/>
        <v>1.2074453743880491E-2</v>
      </c>
      <c r="Q86" s="444">
        <v>85.04</v>
      </c>
      <c r="R86" s="429">
        <f t="shared" si="26"/>
        <v>1.522586361804259E-2</v>
      </c>
      <c r="S86" s="430">
        <f t="shared" si="17"/>
        <v>-3.1514098741620995E-3</v>
      </c>
      <c r="U86" s="431">
        <f t="shared" si="21"/>
        <v>2.1611158254577524E-2</v>
      </c>
      <c r="V86" s="431">
        <f t="shared" si="22"/>
        <v>1.8459748380415426E-2</v>
      </c>
      <c r="W86" s="444">
        <f t="shared" si="16"/>
        <v>444.51551618786721</v>
      </c>
      <c r="X86" s="429">
        <f t="shared" si="23"/>
        <v>1.845974838041535E-2</v>
      </c>
    </row>
    <row r="87" spans="1:24" x14ac:dyDescent="0.2">
      <c r="A87" s="461">
        <v>2003</v>
      </c>
      <c r="B87" s="529"/>
      <c r="C87" s="467"/>
      <c r="D87" s="467"/>
      <c r="E87" s="467"/>
      <c r="F87" s="468">
        <f t="shared" si="18"/>
        <v>461.27109447466319</v>
      </c>
      <c r="G87" s="486">
        <f t="shared" si="19"/>
        <v>3.7000966183364209E-2</v>
      </c>
      <c r="L87" s="537">
        <v>371.25</v>
      </c>
      <c r="M87" s="486">
        <f t="shared" si="20"/>
        <v>2.3851215822179847E-2</v>
      </c>
      <c r="O87">
        <f>'GDP IPD Canada'!F57</f>
        <v>84.779737629225423</v>
      </c>
      <c r="P87" s="429">
        <f t="shared" si="24"/>
        <v>3.2885509540864055E-2</v>
      </c>
      <c r="Q87" s="444">
        <v>86.734999999999999</v>
      </c>
      <c r="R87" s="429">
        <f t="shared" si="26"/>
        <v>1.9735759179679728E-2</v>
      </c>
      <c r="S87" s="430">
        <f t="shared" si="17"/>
        <v>1.3149750361184327E-2</v>
      </c>
      <c r="U87" s="431">
        <f t="shared" si="21"/>
        <v>2.3851215822179847E-2</v>
      </c>
      <c r="V87" s="431">
        <f t="shared" si="22"/>
        <v>3.7000966183364174E-2</v>
      </c>
      <c r="W87" s="444">
        <f t="shared" si="16"/>
        <v>461.27109447466319</v>
      </c>
      <c r="X87" s="429">
        <f t="shared" si="23"/>
        <v>3.7000966183364209E-2</v>
      </c>
    </row>
    <row r="88" spans="1:24" x14ac:dyDescent="0.2">
      <c r="A88" s="461">
        <v>2004</v>
      </c>
      <c r="B88" s="529"/>
      <c r="C88" s="467"/>
      <c r="D88" s="467"/>
      <c r="E88" s="467"/>
      <c r="F88" s="468">
        <f t="shared" si="18"/>
        <v>482.9803033336969</v>
      </c>
      <c r="G88" s="486">
        <f t="shared" si="19"/>
        <v>4.5989945386228671E-2</v>
      </c>
      <c r="L88" s="537">
        <v>386.75</v>
      </c>
      <c r="M88" s="486">
        <f t="shared" si="20"/>
        <v>4.0902799336266032E-2</v>
      </c>
      <c r="O88">
        <f>'GDP IPD Canada'!F58</f>
        <v>87.553283149350207</v>
      </c>
      <c r="P88" s="429">
        <f t="shared" si="24"/>
        <v>3.2190987112040922E-2</v>
      </c>
      <c r="Q88" s="444">
        <v>89.117999999999995</v>
      </c>
      <c r="R88" s="429">
        <f t="shared" si="26"/>
        <v>2.710384106207829E-2</v>
      </c>
      <c r="S88" s="430">
        <f t="shared" si="17"/>
        <v>5.087146049962632E-3</v>
      </c>
      <c r="U88" s="431">
        <f t="shared" si="21"/>
        <v>4.0902799336266032E-2</v>
      </c>
      <c r="V88" s="431">
        <f t="shared" si="22"/>
        <v>4.5989945386228664E-2</v>
      </c>
      <c r="W88" s="444">
        <f t="shared" si="16"/>
        <v>482.9803033336969</v>
      </c>
      <c r="X88" s="429">
        <f t="shared" si="23"/>
        <v>4.5989945386228671E-2</v>
      </c>
    </row>
    <row r="89" spans="1:24" x14ac:dyDescent="0.2">
      <c r="A89" s="461">
        <v>2005</v>
      </c>
      <c r="B89" s="529"/>
      <c r="C89" s="467"/>
      <c r="D89" s="467"/>
      <c r="E89" s="467"/>
      <c r="F89" s="468">
        <f t="shared" si="18"/>
        <v>501.64965580078785</v>
      </c>
      <c r="G89" s="486">
        <f t="shared" si="19"/>
        <v>3.7926106263571242E-2</v>
      </c>
      <c r="L89" s="537">
        <v>401.75</v>
      </c>
      <c r="M89" s="486">
        <f t="shared" si="20"/>
        <v>3.8051515164446548E-2</v>
      </c>
      <c r="O89">
        <f>'GDP IPD Canada'!F59</f>
        <v>90.358612425189136</v>
      </c>
      <c r="P89" s="429">
        <f t="shared" si="24"/>
        <v>3.1538777101420654E-2</v>
      </c>
      <c r="Q89" s="444">
        <v>91.984999999999999</v>
      </c>
      <c r="R89" s="429">
        <f t="shared" si="26"/>
        <v>3.1664186002295945E-2</v>
      </c>
      <c r="S89" s="430">
        <f t="shared" si="17"/>
        <v>-1.254089008752915E-4</v>
      </c>
      <c r="U89" s="431">
        <f t="shared" si="21"/>
        <v>3.8051515164446548E-2</v>
      </c>
      <c r="V89" s="431">
        <f t="shared" si="22"/>
        <v>3.7926106263571256E-2</v>
      </c>
      <c r="W89" s="444">
        <f t="shared" si="16"/>
        <v>501.64965580078785</v>
      </c>
      <c r="X89" s="429">
        <f t="shared" si="23"/>
        <v>3.7926106263571242E-2</v>
      </c>
    </row>
    <row r="90" spans="1:24" x14ac:dyDescent="0.2">
      <c r="A90" s="461">
        <v>2006</v>
      </c>
      <c r="B90" s="529"/>
      <c r="C90" s="467"/>
      <c r="D90" s="467"/>
      <c r="E90" s="467"/>
      <c r="F90" s="468">
        <f t="shared" si="18"/>
        <v>521.41055483399225</v>
      </c>
      <c r="G90" s="486">
        <f t="shared" si="19"/>
        <v>3.8635765313906528E-2</v>
      </c>
      <c r="L90" s="537">
        <v>419</v>
      </c>
      <c r="M90" s="486">
        <f t="shared" si="20"/>
        <v>4.2040915304515841E-2</v>
      </c>
      <c r="O90">
        <f>'GDP IPD Canada'!F60</f>
        <v>92.819026773990061</v>
      </c>
      <c r="P90" s="429">
        <f t="shared" si="24"/>
        <v>2.6865313260240539E-2</v>
      </c>
      <c r="Q90" s="444">
        <v>94.811999999999998</v>
      </c>
      <c r="R90" s="429">
        <f t="shared" si="26"/>
        <v>3.027046325084989E-2</v>
      </c>
      <c r="S90" s="430">
        <f t="shared" si="17"/>
        <v>-3.4051499906093512E-3</v>
      </c>
      <c r="U90" s="431">
        <f t="shared" si="21"/>
        <v>4.2040915304515841E-2</v>
      </c>
      <c r="V90" s="431">
        <f t="shared" si="22"/>
        <v>3.8635765313906487E-2</v>
      </c>
      <c r="W90" s="444">
        <f t="shared" si="16"/>
        <v>521.41055483399225</v>
      </c>
      <c r="X90" s="429">
        <f t="shared" si="23"/>
        <v>3.8635765313906528E-2</v>
      </c>
    </row>
    <row r="91" spans="1:24" x14ac:dyDescent="0.2">
      <c r="A91" s="461">
        <v>2007</v>
      </c>
      <c r="B91" s="529"/>
      <c r="C91" s="467"/>
      <c r="D91" s="467"/>
      <c r="E91" s="467"/>
      <c r="F91" s="468">
        <f t="shared" si="18"/>
        <v>553.70508034527188</v>
      </c>
      <c r="G91" s="486">
        <f t="shared" si="19"/>
        <v>6.0094454502598336E-2</v>
      </c>
      <c r="L91" s="537">
        <v>442.5</v>
      </c>
      <c r="M91" s="486">
        <f t="shared" si="20"/>
        <v>5.4569544525846579E-2</v>
      </c>
      <c r="O91">
        <f>'GDP IPD Canada'!F61</f>
        <v>95.821834785348159</v>
      </c>
      <c r="P91" s="429">
        <f t="shared" si="24"/>
        <v>3.1838930853463433E-2</v>
      </c>
      <c r="Q91" s="444">
        <v>97.34</v>
      </c>
      <c r="R91" s="429">
        <f t="shared" si="26"/>
        <v>2.6314020876711735E-2</v>
      </c>
      <c r="S91" s="430">
        <f t="shared" si="17"/>
        <v>5.5249099767516983E-3</v>
      </c>
      <c r="U91" s="431">
        <f t="shared" si="21"/>
        <v>5.4569544525846579E-2</v>
      </c>
      <c r="V91" s="431">
        <f t="shared" si="22"/>
        <v>6.0094454502598274E-2</v>
      </c>
      <c r="W91" s="444">
        <f t="shared" si="16"/>
        <v>553.70508034527188</v>
      </c>
      <c r="X91" s="429">
        <f t="shared" si="23"/>
        <v>6.0094454502598336E-2</v>
      </c>
    </row>
    <row r="92" spans="1:24" x14ac:dyDescent="0.2">
      <c r="A92" s="461">
        <v>2008</v>
      </c>
      <c r="B92" s="529"/>
      <c r="C92" s="467"/>
      <c r="D92" s="467"/>
      <c r="E92" s="467"/>
      <c r="F92" s="468">
        <f t="shared" si="18"/>
        <v>594.65453627498891</v>
      </c>
      <c r="G92" s="486">
        <f t="shared" si="19"/>
        <v>7.1348426569366408E-2</v>
      </c>
      <c r="L92" s="537">
        <v>466.25</v>
      </c>
      <c r="M92" s="486">
        <f t="shared" si="20"/>
        <v>5.2281506510041098E-2</v>
      </c>
      <c r="O92">
        <f>'GDP IPD Canada'!F62</f>
        <v>99.550688301948966</v>
      </c>
      <c r="P92" s="429">
        <f t="shared" si="24"/>
        <v>3.8176365097394617E-2</v>
      </c>
      <c r="Q92" s="444">
        <v>99.218000000000004</v>
      </c>
      <c r="R92" s="429">
        <f t="shared" si="26"/>
        <v>1.910944503806938E-2</v>
      </c>
      <c r="S92" s="430">
        <f t="shared" si="17"/>
        <v>1.9066920059325237E-2</v>
      </c>
      <c r="U92" s="431">
        <f t="shared" si="21"/>
        <v>5.2281506510041098E-2</v>
      </c>
      <c r="V92" s="431">
        <f t="shared" si="22"/>
        <v>7.1348426569366338E-2</v>
      </c>
      <c r="W92" s="444">
        <f t="shared" si="16"/>
        <v>594.65453627498891</v>
      </c>
      <c r="X92" s="429">
        <f t="shared" si="23"/>
        <v>7.1348426569366408E-2</v>
      </c>
    </row>
    <row r="93" spans="1:24" x14ac:dyDescent="0.2">
      <c r="A93" s="461">
        <v>2009</v>
      </c>
      <c r="B93" s="529"/>
      <c r="C93" s="467"/>
      <c r="D93" s="467"/>
      <c r="E93" s="467"/>
      <c r="F93" s="468">
        <f t="shared" si="18"/>
        <v>575.19033724568874</v>
      </c>
      <c r="G93" s="486">
        <f t="shared" si="19"/>
        <v>-3.3279618304337732E-2</v>
      </c>
      <c r="L93" s="537">
        <v>464.5</v>
      </c>
      <c r="M93" s="486">
        <f t="shared" si="20"/>
        <v>-3.7604127041320472E-3</v>
      </c>
      <c r="O93">
        <f>'GDP IPD Canada'!F63</f>
        <v>97.416780048026226</v>
      </c>
      <c r="P93" s="429">
        <f t="shared" si="24"/>
        <v>-2.1668469055491867E-2</v>
      </c>
      <c r="Q93" s="444">
        <v>100</v>
      </c>
      <c r="R93" s="429">
        <f t="shared" si="26"/>
        <v>7.8507365447138076E-3</v>
      </c>
      <c r="S93" s="430">
        <f t="shared" si="17"/>
        <v>-2.9519205600205677E-2</v>
      </c>
      <c r="U93" s="431">
        <f t="shared" si="21"/>
        <v>-3.7604127041320472E-3</v>
      </c>
      <c r="V93" s="431">
        <f t="shared" si="22"/>
        <v>-3.3279618304337726E-2</v>
      </c>
      <c r="W93" s="444">
        <f t="shared" si="16"/>
        <v>575.19033724568874</v>
      </c>
      <c r="X93" s="429">
        <f t="shared" si="23"/>
        <v>-3.3279618304337732E-2</v>
      </c>
    </row>
    <row r="94" spans="1:24" x14ac:dyDescent="0.2">
      <c r="A94" s="461">
        <v>2010</v>
      </c>
      <c r="B94" s="529"/>
      <c r="C94" s="467"/>
      <c r="D94" s="467"/>
      <c r="E94" s="467"/>
      <c r="F94" s="468">
        <f t="shared" si="18"/>
        <v>596.45766168495584</v>
      </c>
      <c r="G94" s="486">
        <f t="shared" si="19"/>
        <v>3.6307253804047854E-2</v>
      </c>
      <c r="L94" s="537">
        <v>475</v>
      </c>
      <c r="M94" s="486">
        <f t="shared" si="20"/>
        <v>2.2353245780747908E-2</v>
      </c>
      <c r="O94">
        <f>'GDP IPD Canada'!F64</f>
        <v>99.996775298285584</v>
      </c>
      <c r="P94" s="429">
        <f t="shared" si="24"/>
        <v>2.6139462887101419E-2</v>
      </c>
      <c r="Q94" s="444">
        <v>101.226</v>
      </c>
      <c r="R94" s="429">
        <f t="shared" si="26"/>
        <v>1.2185454863801371E-2</v>
      </c>
      <c r="S94" s="430">
        <f t="shared" si="17"/>
        <v>1.3954008023300048E-2</v>
      </c>
      <c r="U94" s="431">
        <f t="shared" si="21"/>
        <v>2.2353245780747908E-2</v>
      </c>
      <c r="V94" s="431">
        <f t="shared" si="22"/>
        <v>3.6307253804047958E-2</v>
      </c>
      <c r="W94" s="444">
        <f t="shared" si="16"/>
        <v>596.45766168495584</v>
      </c>
      <c r="X94" s="429">
        <f t="shared" si="23"/>
        <v>3.6307253804047854E-2</v>
      </c>
    </row>
    <row r="95" spans="1:24" x14ac:dyDescent="0.2">
      <c r="A95" s="461">
        <v>2011</v>
      </c>
      <c r="B95" s="529"/>
      <c r="C95" s="467"/>
      <c r="D95" s="467"/>
      <c r="E95" s="467"/>
      <c r="F95" s="468">
        <f t="shared" si="18"/>
        <v>622.32193486427934</v>
      </c>
      <c r="G95" s="486">
        <f t="shared" si="19"/>
        <v>4.2449277885629924E-2</v>
      </c>
      <c r="L95" s="537">
        <v>489.25</v>
      </c>
      <c r="M95" s="486">
        <f t="shared" si="20"/>
        <v>2.9558802241544429E-2</v>
      </c>
      <c r="O95">
        <f>'GDP IPD Canada'!F65</f>
        <v>103.38453095428075</v>
      </c>
      <c r="P95" s="429">
        <f t="shared" si="24"/>
        <v>3.3317408507760674E-2</v>
      </c>
      <c r="Q95" s="444">
        <v>103.315</v>
      </c>
      <c r="R95" s="429">
        <f t="shared" si="26"/>
        <v>2.0426932863675099E-2</v>
      </c>
      <c r="S95" s="430">
        <f t="shared" si="17"/>
        <v>1.2890475644085575E-2</v>
      </c>
      <c r="U95" s="431">
        <f t="shared" si="21"/>
        <v>2.9558802241544429E-2</v>
      </c>
      <c r="V95" s="431">
        <f t="shared" si="22"/>
        <v>4.2449277885630007E-2</v>
      </c>
      <c r="W95" s="444">
        <f t="shared" si="16"/>
        <v>622.32193486427934</v>
      </c>
      <c r="X95" s="429">
        <f t="shared" si="23"/>
        <v>4.2449277885629924E-2</v>
      </c>
    </row>
    <row r="96" spans="1:24" x14ac:dyDescent="0.2">
      <c r="A96" s="461">
        <v>2012</v>
      </c>
      <c r="B96" s="529"/>
      <c r="C96" s="467"/>
      <c r="D96" s="467"/>
      <c r="E96" s="467"/>
      <c r="F96" s="468">
        <f t="shared" si="18"/>
        <v>638.98890057236974</v>
      </c>
      <c r="G96" s="486">
        <f t="shared" si="19"/>
        <v>2.6429545221966968E-2</v>
      </c>
      <c r="L96" s="537">
        <v>504</v>
      </c>
      <c r="M96" s="486">
        <f t="shared" si="20"/>
        <v>2.9702661795183036E-2</v>
      </c>
      <c r="O96">
        <f>'GDP IPD Canada'!F66</f>
        <v>104.9467473042005</v>
      </c>
      <c r="P96" s="429">
        <f t="shared" si="24"/>
        <v>1.499770601387721E-2</v>
      </c>
      <c r="Q96" s="444">
        <v>105.22</v>
      </c>
      <c r="R96" s="429">
        <f t="shared" si="26"/>
        <v>1.8270822587093182E-2</v>
      </c>
      <c r="S96" s="430">
        <f t="shared" si="17"/>
        <v>-3.2731165732159725E-3</v>
      </c>
      <c r="U96" s="431">
        <f t="shared" si="21"/>
        <v>2.9702661795183036E-2</v>
      </c>
      <c r="V96" s="431">
        <f t="shared" si="22"/>
        <v>2.6429545221967062E-2</v>
      </c>
      <c r="W96" s="444">
        <f t="shared" si="16"/>
        <v>638.98890057236974</v>
      </c>
      <c r="X96" s="429">
        <f t="shared" si="23"/>
        <v>2.6429545221966968E-2</v>
      </c>
    </row>
    <row r="97" spans="1:24" x14ac:dyDescent="0.2">
      <c r="A97" s="461">
        <v>2013</v>
      </c>
      <c r="B97" s="529"/>
      <c r="C97" s="467"/>
      <c r="D97" s="467"/>
      <c r="E97" s="467"/>
      <c r="F97" s="468">
        <f t="shared" si="18"/>
        <v>646.60346255596494</v>
      </c>
      <c r="G97" s="486">
        <f t="shared" si="19"/>
        <v>1.1846136066662422E-2</v>
      </c>
      <c r="L97" s="537">
        <v>511.25</v>
      </c>
      <c r="M97" s="486">
        <f t="shared" si="20"/>
        <v>1.4282439285642944E-2</v>
      </c>
      <c r="O97">
        <f>'GDP IPD Canada'!F67</f>
        <v>106.39776028028824</v>
      </c>
      <c r="P97" s="429">
        <f t="shared" si="24"/>
        <v>1.3731473716059896E-2</v>
      </c>
      <c r="Q97" s="444">
        <v>106.935</v>
      </c>
      <c r="R97" s="429">
        <f t="shared" si="26"/>
        <v>1.6167776935040311E-2</v>
      </c>
      <c r="S97" s="430">
        <f t="shared" si="17"/>
        <v>-2.4363032189804144E-3</v>
      </c>
      <c r="U97" s="431">
        <f t="shared" si="21"/>
        <v>1.4282439285642944E-2</v>
      </c>
      <c r="V97" s="431">
        <f t="shared" si="22"/>
        <v>1.184613606666253E-2</v>
      </c>
      <c r="W97" s="444">
        <f t="shared" si="16"/>
        <v>646.60346255596494</v>
      </c>
      <c r="X97" s="429">
        <f t="shared" si="23"/>
        <v>1.1846136066662422E-2</v>
      </c>
    </row>
    <row r="98" spans="1:24" x14ac:dyDescent="0.2">
      <c r="A98" s="461">
        <v>2014</v>
      </c>
      <c r="B98" s="529"/>
      <c r="C98" s="467"/>
      <c r="D98" s="467"/>
      <c r="E98" s="467"/>
      <c r="F98" s="468">
        <f t="shared" si="18"/>
        <v>657.2774814191323</v>
      </c>
      <c r="G98" s="486">
        <f t="shared" si="19"/>
        <v>1.6373055172377086E-2</v>
      </c>
      <c r="L98" s="537">
        <v>519</v>
      </c>
      <c r="M98" s="486">
        <f t="shared" si="20"/>
        <v>1.5045175808877063E-2</v>
      </c>
      <c r="O98">
        <f>'GDP IPD Canada'!F68</f>
        <v>108.29162587673099</v>
      </c>
      <c r="P98" s="429">
        <f t="shared" si="24"/>
        <v>1.7643300937419677E-2</v>
      </c>
      <c r="Q98" s="444">
        <v>108.694</v>
      </c>
      <c r="R98" s="429">
        <f t="shared" si="26"/>
        <v>1.6315421573919749E-2</v>
      </c>
      <c r="S98" s="430">
        <f>P98-R98</f>
        <v>1.3278793634999286E-3</v>
      </c>
      <c r="U98" s="431">
        <f t="shared" si="21"/>
        <v>1.5045175808877063E-2</v>
      </c>
      <c r="V98" s="431">
        <f t="shared" si="22"/>
        <v>1.6373055172376992E-2</v>
      </c>
      <c r="W98" s="444">
        <f t="shared" si="16"/>
        <v>657.2774814191323</v>
      </c>
      <c r="X98" s="429">
        <f t="shared" si="23"/>
        <v>1.6373055172377086E-2</v>
      </c>
    </row>
    <row r="99" spans="1:24" x14ac:dyDescent="0.2">
      <c r="A99" s="461"/>
      <c r="B99" s="529"/>
      <c r="C99" s="467"/>
      <c r="D99" s="467"/>
      <c r="E99" s="467"/>
      <c r="Q99" s="444"/>
      <c r="R99" s="429"/>
    </row>
    <row r="100" spans="1:24" x14ac:dyDescent="0.2">
      <c r="A100" s="461"/>
      <c r="B100" s="529"/>
      <c r="C100" s="467"/>
      <c r="D100" s="467"/>
      <c r="E100" s="467"/>
      <c r="P100" s="431">
        <f>AVERAGE(P66:P98)</f>
        <v>2.7092564712602074E-2</v>
      </c>
      <c r="Q100" s="431"/>
      <c r="R100" s="431">
        <f>AVERAGE(R66:R98)</f>
        <v>2.4355162418839137E-2</v>
      </c>
      <c r="S100" s="431">
        <f>AVERAGE(S66:S98)</f>
        <v>2.7374022937629431E-3</v>
      </c>
    </row>
    <row r="101" spans="1:24" x14ac:dyDescent="0.2">
      <c r="A101" s="461"/>
      <c r="B101" s="529"/>
      <c r="C101" s="467"/>
      <c r="D101" s="467"/>
      <c r="E101" s="467"/>
    </row>
    <row r="102" spans="1:24" x14ac:dyDescent="0.2">
      <c r="A102" s="461"/>
      <c r="B102" s="529"/>
      <c r="C102" s="467"/>
      <c r="D102" s="467"/>
      <c r="E102" s="467"/>
    </row>
    <row r="103" spans="1:24" x14ac:dyDescent="0.2">
      <c r="A103" s="461"/>
      <c r="B103" s="529"/>
      <c r="C103" s="467"/>
      <c r="D103" s="467"/>
      <c r="E103" s="467"/>
    </row>
    <row r="104" spans="1:24" x14ac:dyDescent="0.2">
      <c r="A104" s="461"/>
      <c r="B104" s="529"/>
      <c r="C104" s="467"/>
      <c r="D104" s="467"/>
      <c r="E104" s="467"/>
    </row>
    <row r="105" spans="1:24" x14ac:dyDescent="0.2">
      <c r="A105" s="461"/>
      <c r="B105" s="529"/>
      <c r="C105" s="467"/>
      <c r="D105" s="467"/>
      <c r="E105" s="467"/>
    </row>
  </sheetData>
  <mergeCells count="3">
    <mergeCell ref="O5:S5"/>
    <mergeCell ref="U5:X5"/>
    <mergeCell ref="L2:X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G29" sqref="G29"/>
    </sheetView>
  </sheetViews>
  <sheetFormatPr defaultColWidth="8.85546875" defaultRowHeight="12.75" x14ac:dyDescent="0.2"/>
  <cols>
    <col min="1" max="1" width="12.85546875" customWidth="1"/>
    <col min="2" max="2" width="16.42578125" bestFit="1" customWidth="1"/>
    <col min="4" max="5" width="10.28515625" customWidth="1"/>
    <col min="6" max="6" width="17.42578125" customWidth="1"/>
    <col min="8" max="8" width="11" hidden="1" customWidth="1"/>
    <col min="9" max="9" width="10" hidden="1" customWidth="1"/>
    <col min="10" max="10" width="8.85546875" hidden="1" customWidth="1"/>
    <col min="11" max="11" width="11.7109375" customWidth="1"/>
    <col min="12" max="12" width="12.42578125" customWidth="1"/>
  </cols>
  <sheetData>
    <row r="1" spans="1:12" x14ac:dyDescent="0.2">
      <c r="E1" s="361"/>
    </row>
    <row r="2" spans="1:12" ht="18" x14ac:dyDescent="0.25">
      <c r="B2" s="757" t="s">
        <v>691</v>
      </c>
      <c r="C2" s="757"/>
      <c r="D2" s="757"/>
      <c r="E2" s="757"/>
      <c r="F2" s="757"/>
      <c r="G2" s="757"/>
      <c r="H2" s="757"/>
      <c r="I2" s="757"/>
      <c r="J2" s="757"/>
      <c r="K2" s="757"/>
      <c r="L2" s="757"/>
    </row>
    <row r="3" spans="1:12" x14ac:dyDescent="0.2">
      <c r="B3" s="432"/>
      <c r="E3" s="426"/>
    </row>
    <row r="4" spans="1:12" x14ac:dyDescent="0.2">
      <c r="A4" s="432"/>
      <c r="B4" s="432"/>
      <c r="D4" s="112"/>
      <c r="E4" s="431"/>
      <c r="G4" s="431"/>
      <c r="H4" s="431"/>
      <c r="I4" s="431"/>
    </row>
    <row r="5" spans="1:12" ht="38.25" x14ac:dyDescent="0.2">
      <c r="B5" s="482" t="s">
        <v>852</v>
      </c>
      <c r="C5" s="488" t="s">
        <v>853</v>
      </c>
      <c r="D5" s="480" t="s">
        <v>681</v>
      </c>
      <c r="E5" s="480" t="s">
        <v>682</v>
      </c>
      <c r="F5" s="488" t="s">
        <v>690</v>
      </c>
      <c r="G5" s="488" t="s">
        <v>643</v>
      </c>
      <c r="H5" s="480"/>
      <c r="I5" s="482" t="s">
        <v>682</v>
      </c>
      <c r="J5" s="482" t="s">
        <v>681</v>
      </c>
      <c r="K5" s="488" t="s">
        <v>688</v>
      </c>
      <c r="L5" s="488" t="s">
        <v>689</v>
      </c>
    </row>
    <row r="6" spans="1:12" x14ac:dyDescent="0.2">
      <c r="B6" s="432">
        <v>1227972792</v>
      </c>
      <c r="C6">
        <v>100</v>
      </c>
      <c r="D6" s="481">
        <v>1</v>
      </c>
      <c r="E6" s="481"/>
      <c r="F6" s="427">
        <f t="shared" ref="F6:F39" si="0">B6/C6</f>
        <v>12279727.92</v>
      </c>
      <c r="G6" s="112">
        <f t="shared" ref="G6:G39" si="1">F6/$F$61</f>
        <v>0.14520867329191625</v>
      </c>
      <c r="H6" s="483"/>
      <c r="J6" s="431">
        <f>G6</f>
        <v>0.14520867329191625</v>
      </c>
      <c r="K6" s="481">
        <v>0.94799999999999995</v>
      </c>
      <c r="L6" s="486">
        <f t="shared" ref="L6:L39" si="2">K6/C6</f>
        <v>9.4799999999999988E-3</v>
      </c>
    </row>
    <row r="7" spans="1:12" x14ac:dyDescent="0.2">
      <c r="B7" s="432">
        <v>1380649053</v>
      </c>
      <c r="C7">
        <v>100</v>
      </c>
      <c r="D7" s="481">
        <v>1</v>
      </c>
      <c r="E7" s="481"/>
      <c r="F7" s="427">
        <f t="shared" si="0"/>
        <v>13806490.529999999</v>
      </c>
      <c r="G7" s="112">
        <f t="shared" si="1"/>
        <v>0.16326275188992181</v>
      </c>
      <c r="J7" s="431">
        <f>G7</f>
        <v>0.16326275188992181</v>
      </c>
      <c r="K7" s="481">
        <v>0.94799999999999995</v>
      </c>
      <c r="L7" s="486">
        <f t="shared" si="2"/>
        <v>9.4799999999999988E-3</v>
      </c>
    </row>
    <row r="8" spans="1:12" x14ac:dyDescent="0.2">
      <c r="B8" s="432">
        <v>991676359</v>
      </c>
      <c r="C8">
        <v>100</v>
      </c>
      <c r="D8" s="481">
        <v>1</v>
      </c>
      <c r="E8" s="481"/>
      <c r="F8" s="427">
        <f t="shared" si="0"/>
        <v>9916763.5899999999</v>
      </c>
      <c r="G8" s="112">
        <f t="shared" si="1"/>
        <v>0.11726644870593196</v>
      </c>
      <c r="J8" s="431">
        <f>G8</f>
        <v>0.11726644870593196</v>
      </c>
      <c r="K8" s="481">
        <v>0.94799999999999995</v>
      </c>
      <c r="L8" s="486">
        <f t="shared" si="2"/>
        <v>9.4799999999999988E-3</v>
      </c>
    </row>
    <row r="9" spans="1:12" x14ac:dyDescent="0.2">
      <c r="B9" s="432">
        <v>361275033</v>
      </c>
      <c r="C9">
        <v>50</v>
      </c>
      <c r="D9" s="481"/>
      <c r="E9" s="481">
        <v>1</v>
      </c>
      <c r="F9" s="427">
        <f t="shared" si="0"/>
        <v>7225500.6600000001</v>
      </c>
      <c r="G9" s="112">
        <f t="shared" si="1"/>
        <v>8.5442069363737605E-2</v>
      </c>
      <c r="H9" s="431">
        <f>G9</f>
        <v>8.5442069363737605E-2</v>
      </c>
      <c r="I9" s="429">
        <f t="shared" ref="I9:I15" si="3">H9/$H$61</f>
        <v>0.15355584815667159</v>
      </c>
      <c r="K9" s="481">
        <v>1.65</v>
      </c>
      <c r="L9" s="486">
        <f t="shared" si="2"/>
        <v>3.3000000000000002E-2</v>
      </c>
    </row>
    <row r="10" spans="1:12" x14ac:dyDescent="0.2">
      <c r="B10" s="432">
        <v>292982384</v>
      </c>
      <c r="C10">
        <v>75</v>
      </c>
      <c r="D10" s="481"/>
      <c r="E10" s="481">
        <v>1</v>
      </c>
      <c r="F10" s="427">
        <f t="shared" si="0"/>
        <v>3906431.7866666666</v>
      </c>
      <c r="G10" s="112">
        <f t="shared" si="1"/>
        <v>4.6193839207411096E-2</v>
      </c>
      <c r="H10" s="431">
        <f>G10</f>
        <v>4.6193839207411096E-2</v>
      </c>
      <c r="I10" s="429">
        <f t="shared" si="3"/>
        <v>8.3019222403307058E-2</v>
      </c>
      <c r="K10" s="481">
        <v>1.65</v>
      </c>
      <c r="L10" s="486">
        <f t="shared" si="2"/>
        <v>2.1999999999999999E-2</v>
      </c>
    </row>
    <row r="11" spans="1:12" x14ac:dyDescent="0.2">
      <c r="B11" s="432">
        <v>213248856</v>
      </c>
      <c r="C11">
        <v>70</v>
      </c>
      <c r="D11" s="481"/>
      <c r="E11" s="481">
        <v>1</v>
      </c>
      <c r="F11" s="427">
        <f t="shared" si="0"/>
        <v>3046412.2285714285</v>
      </c>
      <c r="G11" s="112">
        <f t="shared" si="1"/>
        <v>3.6024045556469222E-2</v>
      </c>
      <c r="H11" s="431">
        <f t="shared" ref="H11:H54" si="4">G11</f>
        <v>3.6024045556469222E-2</v>
      </c>
      <c r="I11" s="429">
        <f t="shared" si="3"/>
        <v>6.4742145299747547E-2</v>
      </c>
      <c r="K11" s="481">
        <v>1.65</v>
      </c>
      <c r="L11" s="486">
        <f t="shared" si="2"/>
        <v>2.357142857142857E-2</v>
      </c>
    </row>
    <row r="12" spans="1:12" x14ac:dyDescent="0.2">
      <c r="B12" s="432">
        <v>221787828</v>
      </c>
      <c r="C12">
        <v>75</v>
      </c>
      <c r="D12" s="481"/>
      <c r="E12" s="481">
        <v>1</v>
      </c>
      <c r="F12" s="427">
        <f t="shared" si="0"/>
        <v>2957171.04</v>
      </c>
      <c r="G12" s="112">
        <f t="shared" si="1"/>
        <v>3.4968762029026795E-2</v>
      </c>
      <c r="H12" s="431">
        <f t="shared" si="4"/>
        <v>3.4968762029026795E-2</v>
      </c>
      <c r="I12" s="429">
        <f t="shared" si="3"/>
        <v>6.2845597635243527E-2</v>
      </c>
      <c r="K12" s="481">
        <v>1.65</v>
      </c>
      <c r="L12" s="486">
        <f t="shared" si="2"/>
        <v>2.1999999999999999E-2</v>
      </c>
    </row>
    <row r="13" spans="1:12" x14ac:dyDescent="0.2">
      <c r="B13" s="432">
        <v>219912108</v>
      </c>
      <c r="C13">
        <v>75</v>
      </c>
      <c r="D13" s="481"/>
      <c r="E13" s="481">
        <v>1</v>
      </c>
      <c r="F13" s="427">
        <f t="shared" si="0"/>
        <v>2932161.44</v>
      </c>
      <c r="G13" s="112">
        <f t="shared" si="1"/>
        <v>3.4673021695102405E-2</v>
      </c>
      <c r="H13" s="431">
        <f t="shared" si="4"/>
        <v>3.4673021695102405E-2</v>
      </c>
      <c r="I13" s="429">
        <f t="shared" si="3"/>
        <v>6.2314095318550221E-2</v>
      </c>
      <c r="K13" s="481">
        <v>1.65</v>
      </c>
      <c r="L13" s="486">
        <f t="shared" si="2"/>
        <v>2.1999999999999999E-2</v>
      </c>
    </row>
    <row r="14" spans="1:12" x14ac:dyDescent="0.2">
      <c r="B14" s="432">
        <v>175590706</v>
      </c>
      <c r="C14">
        <v>50</v>
      </c>
      <c r="D14" s="481"/>
      <c r="E14" s="481">
        <v>1</v>
      </c>
      <c r="F14" s="427">
        <f t="shared" si="0"/>
        <v>3511814.12</v>
      </c>
      <c r="G14" s="112">
        <f t="shared" si="1"/>
        <v>4.1527456677803852E-2</v>
      </c>
      <c r="H14" s="431">
        <f t="shared" si="4"/>
        <v>4.1527456677803852E-2</v>
      </c>
      <c r="I14" s="429">
        <f t="shared" si="3"/>
        <v>7.4632834614560162E-2</v>
      </c>
      <c r="K14" s="481">
        <v>1.65</v>
      </c>
      <c r="L14" s="486">
        <f t="shared" si="2"/>
        <v>3.3000000000000002E-2</v>
      </c>
    </row>
    <row r="15" spans="1:12" x14ac:dyDescent="0.2">
      <c r="B15" s="432">
        <v>114912729</v>
      </c>
      <c r="C15">
        <v>40</v>
      </c>
      <c r="D15" s="481"/>
      <c r="E15" s="481">
        <v>1</v>
      </c>
      <c r="F15" s="427">
        <f t="shared" si="0"/>
        <v>2872818.2250000001</v>
      </c>
      <c r="G15" s="112">
        <f t="shared" si="1"/>
        <v>3.3971283873615969E-2</v>
      </c>
      <c r="H15" s="431">
        <f t="shared" si="4"/>
        <v>3.3971283873615969E-2</v>
      </c>
      <c r="I15" s="429">
        <f t="shared" si="3"/>
        <v>6.1052937353107767E-2</v>
      </c>
      <c r="K15" s="481">
        <v>1.65</v>
      </c>
      <c r="L15" s="486">
        <f t="shared" si="2"/>
        <v>4.1249999999999995E-2</v>
      </c>
    </row>
    <row r="16" spans="1:12" x14ac:dyDescent="0.2">
      <c r="B16" s="432">
        <v>106329529</v>
      </c>
      <c r="C16">
        <v>100</v>
      </c>
      <c r="D16" s="481">
        <v>1</v>
      </c>
      <c r="E16" s="481"/>
      <c r="F16" s="427">
        <f t="shared" si="0"/>
        <v>1063295.29</v>
      </c>
      <c r="G16" s="112">
        <f t="shared" si="1"/>
        <v>1.2573543924126566E-2</v>
      </c>
      <c r="H16" s="431"/>
      <c r="I16" s="429"/>
      <c r="J16" s="431">
        <f>G16</f>
        <v>1.2573543924126566E-2</v>
      </c>
      <c r="K16" s="481">
        <v>0.94799999999999995</v>
      </c>
      <c r="L16" s="486">
        <f t="shared" si="2"/>
        <v>9.4799999999999988E-3</v>
      </c>
    </row>
    <row r="17" spans="2:12" x14ac:dyDescent="0.2">
      <c r="B17" s="432">
        <v>96535236</v>
      </c>
      <c r="C17">
        <v>40</v>
      </c>
      <c r="D17" s="481"/>
      <c r="E17" s="481">
        <v>1</v>
      </c>
      <c r="F17" s="427">
        <f t="shared" si="0"/>
        <v>2413380.9</v>
      </c>
      <c r="G17" s="112">
        <f t="shared" si="1"/>
        <v>2.853840418290398E-2</v>
      </c>
      <c r="H17" s="431">
        <f t="shared" si="4"/>
        <v>2.853840418290398E-2</v>
      </c>
      <c r="I17" s="429">
        <f t="shared" ref="I17:I23" si="5">H17/$H$61</f>
        <v>5.12890065980025E-2</v>
      </c>
      <c r="K17" s="481">
        <v>1.65</v>
      </c>
      <c r="L17" s="486">
        <f t="shared" si="2"/>
        <v>4.1249999999999995E-2</v>
      </c>
    </row>
    <row r="18" spans="2:12" x14ac:dyDescent="0.2">
      <c r="B18" s="432">
        <v>101137556</v>
      </c>
      <c r="C18">
        <v>55</v>
      </c>
      <c r="D18" s="481"/>
      <c r="E18" s="481">
        <v>1</v>
      </c>
      <c r="F18" s="427">
        <f t="shared" si="0"/>
        <v>1838864.6545454545</v>
      </c>
      <c r="G18" s="112">
        <f t="shared" si="1"/>
        <v>2.1744707911243635E-2</v>
      </c>
      <c r="H18" s="431">
        <f t="shared" si="4"/>
        <v>2.1744707911243635E-2</v>
      </c>
      <c r="I18" s="429">
        <f t="shared" si="5"/>
        <v>3.9079426459294263E-2</v>
      </c>
      <c r="K18" s="481">
        <v>1.65</v>
      </c>
      <c r="L18" s="486">
        <f t="shared" si="2"/>
        <v>0.03</v>
      </c>
    </row>
    <row r="19" spans="2:12" x14ac:dyDescent="0.2">
      <c r="B19" s="432">
        <v>85327386</v>
      </c>
      <c r="C19">
        <v>45</v>
      </c>
      <c r="D19" s="481"/>
      <c r="E19" s="481">
        <v>1</v>
      </c>
      <c r="F19" s="427">
        <f t="shared" si="0"/>
        <v>1896164.1333333333</v>
      </c>
      <c r="G19" s="112">
        <f t="shared" si="1"/>
        <v>2.2422278403791338E-2</v>
      </c>
      <c r="H19" s="431">
        <f t="shared" si="4"/>
        <v>2.2422278403791338E-2</v>
      </c>
      <c r="I19" s="429">
        <f t="shared" si="5"/>
        <v>4.0297151081882275E-2</v>
      </c>
      <c r="K19" s="481">
        <v>1.65</v>
      </c>
      <c r="L19" s="486">
        <f t="shared" si="2"/>
        <v>3.6666666666666667E-2</v>
      </c>
    </row>
    <row r="20" spans="2:12" x14ac:dyDescent="0.2">
      <c r="B20" s="432">
        <v>83670918</v>
      </c>
      <c r="C20">
        <v>75</v>
      </c>
      <c r="D20" s="481"/>
      <c r="E20" s="481">
        <v>1</v>
      </c>
      <c r="F20" s="427">
        <f t="shared" si="0"/>
        <v>1115612.24</v>
      </c>
      <c r="G20" s="112">
        <f t="shared" si="1"/>
        <v>1.3192195652379149E-2</v>
      </c>
      <c r="H20" s="431">
        <f t="shared" si="4"/>
        <v>1.3192195652379149E-2</v>
      </c>
      <c r="I20" s="429">
        <f t="shared" si="5"/>
        <v>2.3708915380150866E-2</v>
      </c>
      <c r="K20" s="481">
        <v>1.65</v>
      </c>
      <c r="L20" s="486">
        <f t="shared" si="2"/>
        <v>2.1999999999999999E-2</v>
      </c>
    </row>
    <row r="21" spans="2:12" x14ac:dyDescent="0.2">
      <c r="B21" s="432">
        <v>77122794</v>
      </c>
      <c r="C21">
        <v>25</v>
      </c>
      <c r="D21" s="481"/>
      <c r="E21" s="481">
        <v>1</v>
      </c>
      <c r="F21" s="427">
        <f t="shared" si="0"/>
        <v>3084911.76</v>
      </c>
      <c r="G21" s="112">
        <f t="shared" si="1"/>
        <v>3.6479305307949392E-2</v>
      </c>
      <c r="H21" s="431">
        <f t="shared" si="4"/>
        <v>3.6479305307949392E-2</v>
      </c>
      <c r="I21" s="429">
        <f t="shared" si="5"/>
        <v>6.5560334720845562E-2</v>
      </c>
      <c r="K21" s="481">
        <v>1.65</v>
      </c>
      <c r="L21" s="486">
        <f t="shared" si="2"/>
        <v>6.6000000000000003E-2</v>
      </c>
    </row>
    <row r="22" spans="2:12" x14ac:dyDescent="0.2">
      <c r="B22" s="432">
        <v>72291792</v>
      </c>
      <c r="C22">
        <v>30</v>
      </c>
      <c r="D22" s="481"/>
      <c r="E22" s="481">
        <v>1</v>
      </c>
      <c r="F22" s="427">
        <f t="shared" si="0"/>
        <v>2409726.4</v>
      </c>
      <c r="G22" s="112">
        <f t="shared" si="1"/>
        <v>2.8495189455346296E-2</v>
      </c>
      <c r="H22" s="431">
        <f t="shared" si="4"/>
        <v>2.8495189455346296E-2</v>
      </c>
      <c r="I22" s="429">
        <f t="shared" si="5"/>
        <v>5.1211341412779394E-2</v>
      </c>
      <c r="K22" s="481">
        <v>1.65</v>
      </c>
      <c r="L22" s="486">
        <f t="shared" si="2"/>
        <v>5.5E-2</v>
      </c>
    </row>
    <row r="23" spans="2:12" x14ac:dyDescent="0.2">
      <c r="B23" s="432">
        <v>72513556</v>
      </c>
      <c r="C23">
        <v>75</v>
      </c>
      <c r="D23" s="481"/>
      <c r="E23" s="481">
        <v>1</v>
      </c>
      <c r="F23" s="427">
        <f t="shared" si="0"/>
        <v>966847.41333333333</v>
      </c>
      <c r="G23" s="112">
        <f t="shared" si="1"/>
        <v>1.1433040787263168E-2</v>
      </c>
      <c r="H23" s="431">
        <f t="shared" si="4"/>
        <v>1.1433040787263168E-2</v>
      </c>
      <c r="I23" s="429">
        <f t="shared" si="5"/>
        <v>2.0547375410866549E-2</v>
      </c>
      <c r="K23" s="481">
        <v>1.65</v>
      </c>
      <c r="L23" s="486">
        <f t="shared" si="2"/>
        <v>2.1999999999999999E-2</v>
      </c>
    </row>
    <row r="24" spans="2:12" x14ac:dyDescent="0.2">
      <c r="B24" s="432">
        <v>37317826</v>
      </c>
      <c r="C24">
        <v>100</v>
      </c>
      <c r="D24" s="481">
        <v>1</v>
      </c>
      <c r="E24" s="481"/>
      <c r="F24" s="427">
        <f t="shared" si="0"/>
        <v>373178.26</v>
      </c>
      <c r="G24" s="112">
        <f t="shared" si="1"/>
        <v>4.4128599907925139E-3</v>
      </c>
      <c r="H24" s="431"/>
      <c r="I24" s="429"/>
      <c r="J24" s="431">
        <f>G24</f>
        <v>4.4128599907925139E-3</v>
      </c>
      <c r="K24" s="481">
        <v>0.94799999999999995</v>
      </c>
      <c r="L24" s="486">
        <f t="shared" si="2"/>
        <v>9.4799999999999988E-3</v>
      </c>
    </row>
    <row r="25" spans="2:12" x14ac:dyDescent="0.2">
      <c r="B25" s="432">
        <v>54666182</v>
      </c>
      <c r="C25">
        <v>65</v>
      </c>
      <c r="D25" s="481"/>
      <c r="E25" s="481">
        <v>1</v>
      </c>
      <c r="F25" s="427">
        <f t="shared" si="0"/>
        <v>841018.18461538467</v>
      </c>
      <c r="G25" s="112">
        <f t="shared" si="1"/>
        <v>9.9451010313896197E-3</v>
      </c>
      <c r="H25" s="431">
        <f t="shared" si="4"/>
        <v>9.9451010313896197E-3</v>
      </c>
      <c r="I25" s="429">
        <f t="shared" ref="I25:I33" si="6">H25/$H$61</f>
        <v>1.7873261207867582E-2</v>
      </c>
      <c r="K25" s="481">
        <v>1.65</v>
      </c>
      <c r="L25" s="486">
        <f t="shared" si="2"/>
        <v>2.5384615384615384E-2</v>
      </c>
    </row>
    <row r="26" spans="2:12" x14ac:dyDescent="0.2">
      <c r="B26" s="432">
        <v>44045969</v>
      </c>
      <c r="C26">
        <v>50</v>
      </c>
      <c r="D26" s="481"/>
      <c r="E26" s="481">
        <v>1</v>
      </c>
      <c r="F26" s="427">
        <f t="shared" si="0"/>
        <v>880919.38</v>
      </c>
      <c r="G26" s="112">
        <f t="shared" si="1"/>
        <v>1.0416935560811467E-2</v>
      </c>
      <c r="H26" s="431">
        <f t="shared" si="4"/>
        <v>1.0416935560811467E-2</v>
      </c>
      <c r="I26" s="429">
        <f t="shared" si="6"/>
        <v>1.8721238695942392E-2</v>
      </c>
      <c r="K26" s="481">
        <v>1.65</v>
      </c>
      <c r="L26" s="486">
        <f t="shared" si="2"/>
        <v>3.3000000000000002E-2</v>
      </c>
    </row>
    <row r="27" spans="2:12" x14ac:dyDescent="0.2">
      <c r="B27" s="432">
        <v>45064408</v>
      </c>
      <c r="C27">
        <v>55</v>
      </c>
      <c r="D27" s="481"/>
      <c r="E27" s="481">
        <v>1</v>
      </c>
      <c r="F27" s="427">
        <f t="shared" si="0"/>
        <v>819352.87272727268</v>
      </c>
      <c r="G27" s="112">
        <f t="shared" si="1"/>
        <v>9.6889071469465887E-3</v>
      </c>
      <c r="H27" s="431">
        <f t="shared" si="4"/>
        <v>9.6889071469465887E-3</v>
      </c>
      <c r="I27" s="429">
        <f t="shared" si="6"/>
        <v>1.7412831474468614E-2</v>
      </c>
      <c r="K27" s="481">
        <v>1.65</v>
      </c>
      <c r="L27" s="486">
        <f t="shared" si="2"/>
        <v>0.03</v>
      </c>
    </row>
    <row r="28" spans="2:12" x14ac:dyDescent="0.2">
      <c r="B28" s="432">
        <v>20878634</v>
      </c>
      <c r="C28">
        <v>75</v>
      </c>
      <c r="D28" s="481"/>
      <c r="E28" s="481">
        <v>1</v>
      </c>
      <c r="F28" s="427">
        <f t="shared" si="0"/>
        <v>278381.78666666668</v>
      </c>
      <c r="G28" s="112">
        <f t="shared" si="1"/>
        <v>3.2918848181206226E-3</v>
      </c>
      <c r="H28" s="431">
        <f t="shared" si="4"/>
        <v>3.2918848181206226E-3</v>
      </c>
      <c r="I28" s="429">
        <f t="shared" si="6"/>
        <v>5.916150779642945E-3</v>
      </c>
      <c r="K28" s="481">
        <v>1.65</v>
      </c>
      <c r="L28" s="486">
        <f t="shared" si="2"/>
        <v>2.1999999999999999E-2</v>
      </c>
    </row>
    <row r="29" spans="2:12" x14ac:dyDescent="0.2">
      <c r="B29" s="432">
        <v>27019773</v>
      </c>
      <c r="C29">
        <v>20</v>
      </c>
      <c r="E29" s="481">
        <v>1</v>
      </c>
      <c r="F29" s="427">
        <f t="shared" si="0"/>
        <v>1350988.65</v>
      </c>
      <c r="G29" s="112">
        <f t="shared" si="1"/>
        <v>1.5975538772274117E-2</v>
      </c>
      <c r="H29" s="431">
        <f t="shared" si="4"/>
        <v>1.5975538772274117E-2</v>
      </c>
      <c r="I29" s="429">
        <f t="shared" si="6"/>
        <v>2.871111882242728E-2</v>
      </c>
      <c r="K29" s="481">
        <v>1.65</v>
      </c>
      <c r="L29" s="486">
        <f t="shared" si="2"/>
        <v>8.249999999999999E-2</v>
      </c>
    </row>
    <row r="30" spans="2:12" x14ac:dyDescent="0.2">
      <c r="B30" s="432">
        <v>16335367</v>
      </c>
      <c r="C30">
        <v>40</v>
      </c>
      <c r="E30" s="481">
        <v>1</v>
      </c>
      <c r="F30" s="427">
        <f t="shared" si="0"/>
        <v>408384.17499999999</v>
      </c>
      <c r="G30" s="112">
        <f t="shared" si="1"/>
        <v>4.8291724891217098E-3</v>
      </c>
      <c r="H30" s="431">
        <f t="shared" si="4"/>
        <v>4.8291724891217098E-3</v>
      </c>
      <c r="I30" s="429">
        <f t="shared" si="6"/>
        <v>8.678952686703871E-3</v>
      </c>
      <c r="K30" s="481">
        <v>1.65</v>
      </c>
      <c r="L30" s="486">
        <f t="shared" si="2"/>
        <v>4.1249999999999995E-2</v>
      </c>
    </row>
    <row r="31" spans="2:12" x14ac:dyDescent="0.2">
      <c r="B31" s="432">
        <v>13162790</v>
      </c>
      <c r="C31">
        <v>30</v>
      </c>
      <c r="E31" s="481">
        <v>1</v>
      </c>
      <c r="F31" s="427">
        <f t="shared" si="0"/>
        <v>438759.66666666669</v>
      </c>
      <c r="G31" s="112">
        <f t="shared" si="1"/>
        <v>5.1883648811878631E-3</v>
      </c>
      <c r="H31" s="431">
        <f t="shared" si="4"/>
        <v>5.1883648811878631E-3</v>
      </c>
      <c r="I31" s="429">
        <f t="shared" si="6"/>
        <v>9.3244905678188002E-3</v>
      </c>
      <c r="K31" s="481">
        <v>1.65</v>
      </c>
      <c r="L31" s="486">
        <f t="shared" si="2"/>
        <v>5.5E-2</v>
      </c>
    </row>
    <row r="32" spans="2:12" x14ac:dyDescent="0.2">
      <c r="B32" s="432">
        <v>8624328</v>
      </c>
      <c r="C32">
        <v>60</v>
      </c>
      <c r="E32" s="481">
        <v>1</v>
      </c>
      <c r="F32" s="427">
        <f t="shared" si="0"/>
        <v>143738.79999999999</v>
      </c>
      <c r="G32" s="112">
        <f t="shared" si="1"/>
        <v>1.6997217352493336E-3</v>
      </c>
      <c r="H32" s="431">
        <f t="shared" si="4"/>
        <v>1.6997217352493336E-3</v>
      </c>
      <c r="I32" s="429">
        <f t="shared" si="6"/>
        <v>3.0547271927066967E-3</v>
      </c>
      <c r="K32" s="481">
        <v>1.65</v>
      </c>
      <c r="L32" s="486">
        <f t="shared" si="2"/>
        <v>2.75E-2</v>
      </c>
    </row>
    <row r="33" spans="1:12" x14ac:dyDescent="0.2">
      <c r="B33" s="432">
        <v>7852168</v>
      </c>
      <c r="C33">
        <v>50</v>
      </c>
      <c r="E33" s="481">
        <v>1</v>
      </c>
      <c r="F33" s="427">
        <f t="shared" si="0"/>
        <v>157043.35999999999</v>
      </c>
      <c r="G33" s="112">
        <f t="shared" si="1"/>
        <v>1.8570491222174234E-3</v>
      </c>
      <c r="H33" s="431">
        <f t="shared" si="4"/>
        <v>1.8570491222174234E-3</v>
      </c>
      <c r="I33" s="429">
        <f t="shared" si="6"/>
        <v>3.3374747961303916E-3</v>
      </c>
      <c r="K33" s="481">
        <v>1.65</v>
      </c>
      <c r="L33" s="486">
        <f t="shared" si="2"/>
        <v>3.3000000000000002E-2</v>
      </c>
    </row>
    <row r="34" spans="1:12" x14ac:dyDescent="0.2">
      <c r="B34" s="432">
        <v>7207631</v>
      </c>
      <c r="C34">
        <v>100</v>
      </c>
      <c r="D34" s="15">
        <v>1</v>
      </c>
      <c r="E34" s="481"/>
      <c r="F34" s="427">
        <f t="shared" si="0"/>
        <v>72076.31</v>
      </c>
      <c r="G34" s="112">
        <f t="shared" si="1"/>
        <v>8.5230759338166798E-4</v>
      </c>
      <c r="H34" s="431"/>
      <c r="I34" s="429"/>
      <c r="J34" s="431">
        <f>G34</f>
        <v>8.5230759338166798E-4</v>
      </c>
      <c r="K34" s="481">
        <v>0.94799999999999995</v>
      </c>
      <c r="L34" s="486">
        <f t="shared" si="2"/>
        <v>9.4799999999999988E-3</v>
      </c>
    </row>
    <row r="35" spans="1:12" x14ac:dyDescent="0.2">
      <c r="B35" s="432">
        <v>6220914</v>
      </c>
      <c r="C35">
        <v>40</v>
      </c>
      <c r="E35" s="481">
        <v>1</v>
      </c>
      <c r="F35" s="427">
        <f t="shared" si="0"/>
        <v>155522.85</v>
      </c>
      <c r="G35" s="112">
        <f t="shared" si="1"/>
        <v>1.8390689811861646E-3</v>
      </c>
      <c r="H35" s="431">
        <f t="shared" si="4"/>
        <v>1.8390689811861646E-3</v>
      </c>
      <c r="I35" s="429">
        <f>H35/$H$61</f>
        <v>3.3051610211177829E-3</v>
      </c>
      <c r="K35" s="481">
        <v>1.65</v>
      </c>
      <c r="L35" s="486">
        <f t="shared" si="2"/>
        <v>4.1249999999999995E-2</v>
      </c>
    </row>
    <row r="36" spans="1:12" x14ac:dyDescent="0.2">
      <c r="B36" s="432">
        <v>4066117</v>
      </c>
      <c r="C36">
        <v>15</v>
      </c>
      <c r="E36" s="481">
        <v>1</v>
      </c>
      <c r="F36" s="427">
        <f t="shared" si="0"/>
        <v>271074.46666666667</v>
      </c>
      <c r="G36" s="112">
        <f t="shared" si="1"/>
        <v>3.2054752291270998E-3</v>
      </c>
      <c r="H36" s="431">
        <f t="shared" si="4"/>
        <v>3.2054752291270998E-3</v>
      </c>
      <c r="I36" s="429">
        <f>H36/$H$61</f>
        <v>5.7608561124423731E-3</v>
      </c>
      <c r="K36" s="481">
        <v>1.65</v>
      </c>
      <c r="L36" s="486">
        <f t="shared" si="2"/>
        <v>0.11</v>
      </c>
    </row>
    <row r="37" spans="1:12" x14ac:dyDescent="0.2">
      <c r="B37" s="432">
        <v>3922188</v>
      </c>
      <c r="C37">
        <v>10</v>
      </c>
      <c r="E37" s="481">
        <v>1</v>
      </c>
      <c r="F37" s="427">
        <f t="shared" si="0"/>
        <v>392218.8</v>
      </c>
      <c r="G37" s="112">
        <f t="shared" si="1"/>
        <v>4.6380157572862117E-3</v>
      </c>
      <c r="H37" s="431">
        <f t="shared" si="4"/>
        <v>4.6380157572862117E-3</v>
      </c>
      <c r="I37" s="429">
        <f>H37/$H$61</f>
        <v>8.335407237647658E-3</v>
      </c>
      <c r="K37" s="481">
        <v>1.65</v>
      </c>
      <c r="L37" s="486">
        <f t="shared" si="2"/>
        <v>0.16499999999999998</v>
      </c>
    </row>
    <row r="38" spans="1:12" x14ac:dyDescent="0.2">
      <c r="B38" s="432">
        <v>4048211</v>
      </c>
      <c r="C38">
        <v>50</v>
      </c>
      <c r="E38" s="481">
        <v>1</v>
      </c>
      <c r="F38" s="427">
        <f t="shared" si="0"/>
        <v>80964.22</v>
      </c>
      <c r="G38" s="112">
        <f t="shared" si="1"/>
        <v>9.5740777376399978E-4</v>
      </c>
      <c r="H38" s="431">
        <f t="shared" si="4"/>
        <v>9.5740777376399978E-4</v>
      </c>
      <c r="I38" s="429">
        <f>H38/$H$61</f>
        <v>1.7206460918714182E-3</v>
      </c>
      <c r="K38" s="481">
        <v>1.65</v>
      </c>
      <c r="L38" s="486">
        <f t="shared" si="2"/>
        <v>3.3000000000000002E-2</v>
      </c>
    </row>
    <row r="39" spans="1:12" x14ac:dyDescent="0.2">
      <c r="B39" s="432">
        <v>1987371</v>
      </c>
      <c r="C39">
        <v>10</v>
      </c>
      <c r="E39" s="481">
        <v>1</v>
      </c>
      <c r="F39" s="427">
        <f t="shared" si="0"/>
        <v>198737.1</v>
      </c>
      <c r="G39" s="112">
        <f t="shared" si="1"/>
        <v>2.3500806217278867E-3</v>
      </c>
      <c r="H39" s="431">
        <f t="shared" si="4"/>
        <v>2.3500806217278867E-3</v>
      </c>
      <c r="I39" s="429">
        <f>H39/$H$61</f>
        <v>4.2235473203454466E-3</v>
      </c>
      <c r="K39" s="481">
        <v>1.65</v>
      </c>
      <c r="L39" s="486">
        <f t="shared" si="2"/>
        <v>0.16499999999999998</v>
      </c>
    </row>
    <row r="40" spans="1:12" hidden="1" x14ac:dyDescent="0.2">
      <c r="A40" s="432">
        <v>591758</v>
      </c>
      <c r="B40" s="441"/>
      <c r="C40" s="433"/>
      <c r="E40" s="481">
        <v>1</v>
      </c>
      <c r="F40" s="427"/>
      <c r="G40" s="112"/>
      <c r="H40" s="431"/>
      <c r="I40" s="429"/>
      <c r="K40" s="481"/>
      <c r="L40" s="486"/>
    </row>
    <row r="41" spans="1:12" x14ac:dyDescent="0.2">
      <c r="B41" s="432">
        <v>830257</v>
      </c>
      <c r="C41">
        <v>5</v>
      </c>
      <c r="E41" s="481">
        <v>1</v>
      </c>
      <c r="F41" s="427">
        <f t="shared" ref="F41:F54" si="7">B41/C41</f>
        <v>166051.4</v>
      </c>
      <c r="G41" s="112">
        <f t="shared" ref="G41:G54" si="8">F41/$F$61</f>
        <v>1.963569848562679E-3</v>
      </c>
      <c r="H41" s="431">
        <f t="shared" si="4"/>
        <v>1.963569848562679E-3</v>
      </c>
      <c r="I41" s="429">
        <f t="shared" ref="I41:I54" si="9">H41/$H$61</f>
        <v>3.5289130489959343E-3</v>
      </c>
      <c r="K41" s="481">
        <v>1.65</v>
      </c>
      <c r="L41" s="486">
        <f t="shared" ref="L41:L54" si="10">K41/C41</f>
        <v>0.32999999999999996</v>
      </c>
    </row>
    <row r="42" spans="1:12" x14ac:dyDescent="0.2">
      <c r="B42" s="432">
        <v>11000</v>
      </c>
      <c r="C42">
        <v>25</v>
      </c>
      <c r="E42" s="481">
        <v>1</v>
      </c>
      <c r="F42" s="427">
        <f t="shared" si="7"/>
        <v>440</v>
      </c>
      <c r="G42" s="112">
        <f t="shared" si="8"/>
        <v>5.20303191281482E-6</v>
      </c>
      <c r="H42" s="431">
        <f t="shared" si="4"/>
        <v>5.20303191281482E-6</v>
      </c>
      <c r="I42" s="429">
        <f t="shared" si="9"/>
        <v>9.3508500473841907E-6</v>
      </c>
      <c r="K42" s="481">
        <v>1.65</v>
      </c>
      <c r="L42" s="486">
        <f t="shared" si="10"/>
        <v>6.6000000000000003E-2</v>
      </c>
    </row>
    <row r="43" spans="1:12" x14ac:dyDescent="0.2">
      <c r="B43" s="432">
        <v>591742</v>
      </c>
      <c r="C43">
        <v>15</v>
      </c>
      <c r="E43" s="481">
        <v>1</v>
      </c>
      <c r="F43" s="427">
        <f t="shared" si="7"/>
        <v>39449.466666666667</v>
      </c>
      <c r="G43" s="112">
        <f t="shared" si="8"/>
        <v>4.6649280456861626E-4</v>
      </c>
      <c r="H43" s="431">
        <f t="shared" si="4"/>
        <v>4.6649280456861626E-4</v>
      </c>
      <c r="I43" s="429">
        <f t="shared" si="9"/>
        <v>8.3837738011200238E-4</v>
      </c>
      <c r="K43" s="481">
        <v>1.65</v>
      </c>
      <c r="L43" s="486">
        <f t="shared" si="10"/>
        <v>0.11</v>
      </c>
    </row>
    <row r="44" spans="1:12" x14ac:dyDescent="0.2">
      <c r="B44" s="432">
        <v>105828</v>
      </c>
      <c r="C44">
        <v>15</v>
      </c>
      <c r="E44" s="481">
        <v>1</v>
      </c>
      <c r="F44" s="427">
        <f t="shared" si="7"/>
        <v>7055.2</v>
      </c>
      <c r="G44" s="112">
        <f t="shared" si="8"/>
        <v>8.3428251707479812E-5</v>
      </c>
      <c r="H44" s="431">
        <f t="shared" si="4"/>
        <v>8.3428251707479812E-5</v>
      </c>
      <c r="I44" s="429">
        <f t="shared" si="9"/>
        <v>1.499366301234203E-4</v>
      </c>
      <c r="K44" s="481">
        <v>1.65</v>
      </c>
      <c r="L44" s="486">
        <f t="shared" si="10"/>
        <v>0.11</v>
      </c>
    </row>
    <row r="45" spans="1:12" x14ac:dyDescent="0.2">
      <c r="B45" s="432">
        <v>644287</v>
      </c>
      <c r="C45">
        <v>25</v>
      </c>
      <c r="E45" s="481">
        <v>1</v>
      </c>
      <c r="F45" s="427">
        <f t="shared" si="7"/>
        <v>25771.48</v>
      </c>
      <c r="G45" s="112">
        <f t="shared" si="8"/>
        <v>3.0474962018288383E-4</v>
      </c>
      <c r="H45" s="431">
        <f t="shared" si="4"/>
        <v>3.0474962018288383E-4</v>
      </c>
      <c r="I45" s="429">
        <f t="shared" si="9"/>
        <v>5.4769373858900162E-4</v>
      </c>
      <c r="K45" s="481">
        <v>1.65</v>
      </c>
      <c r="L45" s="486">
        <f t="shared" si="10"/>
        <v>6.6000000000000003E-2</v>
      </c>
    </row>
    <row r="46" spans="1:12" x14ac:dyDescent="0.2">
      <c r="B46" s="432">
        <v>777362</v>
      </c>
      <c r="C46">
        <v>5</v>
      </c>
      <c r="E46" s="481">
        <v>1</v>
      </c>
      <c r="F46" s="427">
        <f t="shared" si="7"/>
        <v>155472.4</v>
      </c>
      <c r="G46" s="112">
        <f t="shared" si="8"/>
        <v>1.83847240627707E-3</v>
      </c>
      <c r="H46" s="431">
        <f t="shared" si="4"/>
        <v>1.83847240627707E-3</v>
      </c>
      <c r="I46" s="429">
        <f t="shared" si="9"/>
        <v>3.304088861152122E-3</v>
      </c>
      <c r="K46" s="481">
        <v>1.65</v>
      </c>
      <c r="L46" s="486">
        <f t="shared" si="10"/>
        <v>0.32999999999999996</v>
      </c>
    </row>
    <row r="47" spans="1:12" x14ac:dyDescent="0.2">
      <c r="B47" s="432">
        <v>715860</v>
      </c>
      <c r="C47">
        <v>30</v>
      </c>
      <c r="E47" s="481">
        <v>1</v>
      </c>
      <c r="F47" s="427">
        <f t="shared" si="7"/>
        <v>23862</v>
      </c>
      <c r="G47" s="112">
        <f t="shared" si="8"/>
        <v>2.8216988068997101E-4</v>
      </c>
      <c r="H47" s="431">
        <f t="shared" si="4"/>
        <v>2.8216988068997101E-4</v>
      </c>
      <c r="I47" s="429">
        <f t="shared" si="9"/>
        <v>5.0711359961518542E-4</v>
      </c>
      <c r="K47" s="481">
        <v>1.65</v>
      </c>
      <c r="L47" s="486">
        <f t="shared" si="10"/>
        <v>5.5E-2</v>
      </c>
    </row>
    <row r="48" spans="1:12" x14ac:dyDescent="0.2">
      <c r="B48" s="432">
        <v>216553</v>
      </c>
      <c r="C48">
        <v>7</v>
      </c>
      <c r="E48" s="481">
        <v>1</v>
      </c>
      <c r="F48" s="427">
        <f t="shared" si="7"/>
        <v>30936.142857142859</v>
      </c>
      <c r="G48" s="112">
        <f t="shared" si="8"/>
        <v>3.6582213305707395E-4</v>
      </c>
      <c r="H48" s="431">
        <f t="shared" si="4"/>
        <v>3.6582213305707395E-4</v>
      </c>
      <c r="I48" s="429">
        <f t="shared" si="9"/>
        <v>6.5745280204908719E-4</v>
      </c>
      <c r="K48" s="481">
        <v>1.65</v>
      </c>
      <c r="L48" s="486">
        <f t="shared" si="10"/>
        <v>0.23571428571428571</v>
      </c>
    </row>
    <row r="49" spans="1:13" x14ac:dyDescent="0.2">
      <c r="B49" s="432">
        <v>77039</v>
      </c>
      <c r="C49">
        <v>40</v>
      </c>
      <c r="E49" s="481">
        <v>1</v>
      </c>
      <c r="F49" s="427">
        <f t="shared" si="7"/>
        <v>1925.9749999999999</v>
      </c>
      <c r="G49" s="112">
        <f t="shared" si="8"/>
        <v>2.2774794064280732E-5</v>
      </c>
      <c r="H49" s="431">
        <f t="shared" si="4"/>
        <v>2.2774794064280732E-5</v>
      </c>
      <c r="I49" s="429">
        <f t="shared" si="9"/>
        <v>4.0930689590933553E-5</v>
      </c>
      <c r="K49" s="481">
        <v>1.65</v>
      </c>
      <c r="L49" s="486">
        <f t="shared" si="10"/>
        <v>4.1249999999999995E-2</v>
      </c>
    </row>
    <row r="50" spans="1:13" x14ac:dyDescent="0.2">
      <c r="B50" s="432">
        <v>17738</v>
      </c>
      <c r="C50">
        <v>40</v>
      </c>
      <c r="E50" s="481">
        <v>1</v>
      </c>
      <c r="F50" s="427">
        <f t="shared" si="7"/>
        <v>443.45</v>
      </c>
      <c r="G50" s="112">
        <f t="shared" si="8"/>
        <v>5.2438284130402994E-6</v>
      </c>
      <c r="H50" s="431">
        <f t="shared" si="4"/>
        <v>5.2438284130402994E-6</v>
      </c>
      <c r="I50" s="429">
        <f t="shared" si="9"/>
        <v>9.4241692125284512E-6</v>
      </c>
      <c r="K50" s="481">
        <v>1.65</v>
      </c>
      <c r="L50" s="486">
        <f t="shared" si="10"/>
        <v>4.1249999999999995E-2</v>
      </c>
    </row>
    <row r="51" spans="1:13" x14ac:dyDescent="0.2">
      <c r="B51" s="432">
        <v>879</v>
      </c>
      <c r="C51">
        <v>100</v>
      </c>
      <c r="D51" s="481">
        <v>1</v>
      </c>
      <c r="E51" s="481"/>
      <c r="F51" s="427">
        <f t="shared" si="7"/>
        <v>8.7899999999999991</v>
      </c>
      <c r="G51" s="112">
        <f t="shared" si="8"/>
        <v>1.0394238753100515E-7</v>
      </c>
      <c r="H51" s="431">
        <f t="shared" si="4"/>
        <v>1.0394238753100515E-7</v>
      </c>
      <c r="I51" s="429">
        <f t="shared" si="9"/>
        <v>1.8680448162842505E-7</v>
      </c>
      <c r="K51" s="481">
        <v>0.94799999999999995</v>
      </c>
      <c r="L51" s="486">
        <f t="shared" si="10"/>
        <v>9.4799999999999988E-3</v>
      </c>
    </row>
    <row r="52" spans="1:13" x14ac:dyDescent="0.2">
      <c r="B52" s="432">
        <v>132754</v>
      </c>
      <c r="C52">
        <v>20</v>
      </c>
      <c r="E52" s="481">
        <v>1</v>
      </c>
      <c r="F52" s="427">
        <f t="shared" si="7"/>
        <v>6637.7</v>
      </c>
      <c r="G52" s="112">
        <f t="shared" si="8"/>
        <v>7.8491283926570302E-5</v>
      </c>
      <c r="H52" s="431">
        <f t="shared" si="4"/>
        <v>7.8491283926570302E-5</v>
      </c>
      <c r="I52" s="429">
        <f t="shared" si="9"/>
        <v>1.4106394854436827E-4</v>
      </c>
      <c r="K52" s="481">
        <v>1.65</v>
      </c>
      <c r="L52" s="486">
        <f t="shared" si="10"/>
        <v>8.249999999999999E-2</v>
      </c>
    </row>
    <row r="53" spans="1:13" x14ac:dyDescent="0.2">
      <c r="B53" s="432">
        <v>58601</v>
      </c>
      <c r="C53">
        <v>50</v>
      </c>
      <c r="E53" s="481">
        <v>1</v>
      </c>
      <c r="F53" s="427">
        <f t="shared" si="7"/>
        <v>1172.02</v>
      </c>
      <c r="G53" s="112">
        <f t="shared" si="8"/>
        <v>1.3859221505584603E-5</v>
      </c>
      <c r="H53" s="431">
        <f t="shared" si="4"/>
        <v>1.3859221505584603E-5</v>
      </c>
      <c r="I53" s="429">
        <f t="shared" si="9"/>
        <v>2.4907689255761861E-5</v>
      </c>
      <c r="K53" s="481">
        <v>1.65</v>
      </c>
      <c r="L53" s="486">
        <f t="shared" si="10"/>
        <v>3.3000000000000002E-2</v>
      </c>
    </row>
    <row r="54" spans="1:13" x14ac:dyDescent="0.2">
      <c r="B54" s="432">
        <v>5974</v>
      </c>
      <c r="C54">
        <v>15</v>
      </c>
      <c r="E54" s="481">
        <v>1</v>
      </c>
      <c r="F54" s="427">
        <f t="shared" si="7"/>
        <v>398.26666666666665</v>
      </c>
      <c r="G54" s="112">
        <f t="shared" si="8"/>
        <v>4.7095322192660205E-6</v>
      </c>
      <c r="H54" s="431">
        <f t="shared" si="4"/>
        <v>4.7095322192660205E-6</v>
      </c>
      <c r="I54" s="429">
        <f t="shared" si="9"/>
        <v>8.4639360883444172E-6</v>
      </c>
      <c r="K54" s="481">
        <v>1.65</v>
      </c>
      <c r="L54" s="486">
        <f t="shared" si="10"/>
        <v>0.11</v>
      </c>
    </row>
    <row r="55" spans="1:13" hidden="1" x14ac:dyDescent="0.2">
      <c r="A55" s="432">
        <v>4094653</v>
      </c>
      <c r="B55" s="441"/>
      <c r="C55" s="433"/>
      <c r="K55" s="481"/>
      <c r="L55" s="481"/>
    </row>
    <row r="56" spans="1:13" hidden="1" x14ac:dyDescent="0.2">
      <c r="A56" s="432">
        <v>0</v>
      </c>
      <c r="B56" s="441"/>
      <c r="C56" s="433"/>
      <c r="K56" s="481"/>
      <c r="L56" s="481"/>
    </row>
    <row r="57" spans="1:13" hidden="1" x14ac:dyDescent="0.2">
      <c r="A57" s="432">
        <v>0</v>
      </c>
      <c r="B57" s="441"/>
      <c r="C57" s="433"/>
      <c r="K57" s="481"/>
      <c r="L57" s="481"/>
    </row>
    <row r="58" spans="1:13" hidden="1" x14ac:dyDescent="0.2">
      <c r="A58" s="432">
        <v>0</v>
      </c>
      <c r="B58" s="441"/>
      <c r="C58" s="433"/>
      <c r="K58" s="481"/>
      <c r="L58" s="481"/>
    </row>
    <row r="59" spans="1:13" hidden="1" x14ac:dyDescent="0.2">
      <c r="K59" s="481"/>
      <c r="L59" s="481"/>
    </row>
    <row r="60" spans="1:13" x14ac:dyDescent="0.2">
      <c r="K60" s="481"/>
      <c r="L60" s="481"/>
    </row>
    <row r="61" spans="1:13" x14ac:dyDescent="0.2">
      <c r="F61" s="427">
        <f>SUM(F6:F54)</f>
        <v>84566077.50498338</v>
      </c>
      <c r="G61" s="431">
        <f>SUM(G6:G54)</f>
        <v>0.99999999999999944</v>
      </c>
      <c r="H61" s="431">
        <f>SUM(H6:H54)</f>
        <v>0.55642341460392875</v>
      </c>
      <c r="I61" s="431">
        <f>SUM(I6:I54)</f>
        <v>1.0000000000000004</v>
      </c>
      <c r="J61" s="431">
        <f>SUM(J6:J54)</f>
        <v>0.44357658539607075</v>
      </c>
      <c r="K61" s="481"/>
      <c r="L61" s="487">
        <f>SUMPRODUCT(L6:L54,G6:G54)</f>
        <v>2.6291206528253862E-2</v>
      </c>
      <c r="M61" s="18" t="s">
        <v>689</v>
      </c>
    </row>
    <row r="62" spans="1:13" x14ac:dyDescent="0.2">
      <c r="B62" s="472" t="s">
        <v>854</v>
      </c>
      <c r="C62" s="38"/>
      <c r="D62" s="38"/>
      <c r="E62" s="38"/>
      <c r="K62" s="481"/>
      <c r="L62" s="481"/>
    </row>
    <row r="63" spans="1:13" x14ac:dyDescent="0.2">
      <c r="K63" s="481"/>
      <c r="L63" s="481"/>
    </row>
    <row r="64" spans="1:13" x14ac:dyDescent="0.2">
      <c r="B64" s="18" t="s">
        <v>855</v>
      </c>
      <c r="F64" s="33"/>
      <c r="G64" s="33"/>
      <c r="K64" s="481"/>
      <c r="L64" s="481"/>
    </row>
    <row r="65" spans="2:12" x14ac:dyDescent="0.2">
      <c r="B65" s="18" t="s">
        <v>856</v>
      </c>
      <c r="F65" s="756" t="s">
        <v>687</v>
      </c>
      <c r="G65" s="756"/>
      <c r="L65" s="481"/>
    </row>
    <row r="66" spans="2:12" x14ac:dyDescent="0.2">
      <c r="F66" s="47"/>
      <c r="G66" s="33"/>
      <c r="H66" s="33"/>
      <c r="I66" s="33"/>
      <c r="L66" s="481"/>
    </row>
    <row r="67" spans="2:12" x14ac:dyDescent="0.2">
      <c r="F67" s="47" t="s">
        <v>682</v>
      </c>
      <c r="G67" s="485">
        <f>SUMPRODUCT(I6:I54,C6:C54)</f>
        <v>52.075503960248412</v>
      </c>
      <c r="H67" s="112"/>
      <c r="I67" s="112"/>
      <c r="L67" s="481"/>
    </row>
    <row r="68" spans="2:12" x14ac:dyDescent="0.2">
      <c r="F68" s="47" t="s">
        <v>681</v>
      </c>
      <c r="G68" s="484">
        <v>100</v>
      </c>
      <c r="H68" s="431"/>
      <c r="I68" s="431"/>
      <c r="L68" s="481"/>
    </row>
    <row r="69" spans="2:12" x14ac:dyDescent="0.2">
      <c r="F69" s="18" t="s">
        <v>692</v>
      </c>
      <c r="G69" s="491">
        <f>G67*H61+J61*G68</f>
        <v>73.333688270388905</v>
      </c>
      <c r="H69" s="483"/>
    </row>
    <row r="70" spans="2:12" x14ac:dyDescent="0.2">
      <c r="H70" s="361"/>
    </row>
  </sheetData>
  <mergeCells count="2">
    <mergeCell ref="F65:G65"/>
    <mergeCell ref="B2:L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81"/>
  <sheetViews>
    <sheetView workbookViewId="0">
      <selection activeCell="F20" sqref="F20"/>
    </sheetView>
  </sheetViews>
  <sheetFormatPr defaultColWidth="8.85546875" defaultRowHeight="12.75" x14ac:dyDescent="0.2"/>
  <cols>
    <col min="3" max="3" width="0" hidden="1" customWidth="1"/>
    <col min="4" max="4" width="8.7109375" customWidth="1"/>
    <col min="5" max="5" width="12.7109375" customWidth="1"/>
    <col min="6" max="6" width="19.5703125" customWidth="1"/>
    <col min="7" max="7" width="22.140625" customWidth="1"/>
    <col min="10" max="10" width="8.85546875" hidden="1" customWidth="1"/>
    <col min="11" max="11" width="17.42578125" hidden="1" customWidth="1"/>
    <col min="12" max="12" width="17.42578125" style="740" hidden="1" customWidth="1"/>
    <col min="13" max="13" width="12.85546875" style="544" hidden="1" customWidth="1"/>
    <col min="14" max="14" width="13.85546875" hidden="1" customWidth="1"/>
    <col min="15" max="15" width="8.85546875" hidden="1" customWidth="1"/>
    <col min="16" max="16" width="20.42578125" hidden="1" customWidth="1"/>
    <col min="17" max="19" width="8.85546875" hidden="1" customWidth="1"/>
    <col min="20" max="30" width="8.85546875" customWidth="1"/>
    <col min="31" max="32" width="16.42578125" hidden="1" customWidth="1"/>
    <col min="33" max="33" width="8.85546875" hidden="1" customWidth="1"/>
    <col min="34" max="35" width="11.7109375" hidden="1" customWidth="1"/>
    <col min="36" max="38" width="8.85546875" hidden="1" customWidth="1"/>
    <col min="39" max="39" width="17" hidden="1" customWidth="1"/>
    <col min="40" max="41" width="8.85546875" hidden="1" customWidth="1"/>
    <col min="42" max="42" width="10" hidden="1" customWidth="1"/>
    <col min="43" max="44" width="8.85546875" hidden="1" customWidth="1"/>
    <col min="45" max="47" width="8.85546875" customWidth="1"/>
    <col min="50" max="50" width="0" hidden="1" customWidth="1"/>
  </cols>
  <sheetData>
    <row r="1" spans="3:50" x14ac:dyDescent="0.2">
      <c r="M1" s="662"/>
    </row>
    <row r="2" spans="3:50" x14ac:dyDescent="0.2">
      <c r="M2" s="662"/>
    </row>
    <row r="3" spans="3:50" ht="18" x14ac:dyDescent="0.25">
      <c r="D3" s="459" t="s">
        <v>847</v>
      </c>
      <c r="AX3">
        <v>1</v>
      </c>
    </row>
    <row r="4" spans="3:50" x14ac:dyDescent="0.2">
      <c r="AX4">
        <v>2</v>
      </c>
    </row>
    <row r="5" spans="3:50" ht="25.5" x14ac:dyDescent="0.2">
      <c r="D5" s="662"/>
      <c r="E5" s="662"/>
      <c r="F5" s="473" t="s">
        <v>846</v>
      </c>
      <c r="G5" s="473" t="s">
        <v>644</v>
      </c>
      <c r="AX5">
        <v>3</v>
      </c>
    </row>
    <row r="6" spans="3:50" x14ac:dyDescent="0.2">
      <c r="D6" s="662"/>
      <c r="E6" s="662"/>
      <c r="AX6">
        <v>4</v>
      </c>
    </row>
    <row r="7" spans="3:50" ht="26.25" thickBot="1" x14ac:dyDescent="0.25">
      <c r="C7" s="18" t="s">
        <v>15</v>
      </c>
      <c r="D7" s="698" t="s">
        <v>858</v>
      </c>
      <c r="E7" s="699" t="s">
        <v>859</v>
      </c>
      <c r="F7" s="699" t="s">
        <v>843</v>
      </c>
      <c r="G7" s="693" t="s">
        <v>643</v>
      </c>
      <c r="AX7">
        <v>5</v>
      </c>
    </row>
    <row r="8" spans="3:50" ht="13.5" thickTop="1" x14ac:dyDescent="0.2">
      <c r="C8">
        <v>4</v>
      </c>
      <c r="D8" s="662">
        <v>23</v>
      </c>
      <c r="E8" s="662">
        <v>1898</v>
      </c>
      <c r="F8" s="486">
        <f>D8/SUM($D$8:$D$60)</f>
        <v>3.6231884057971015E-3</v>
      </c>
      <c r="G8" s="486">
        <f>D8/SUM($D$8:$D$61)</f>
        <v>3.5769828926905133E-3</v>
      </c>
      <c r="AO8" s="361">
        <f>AN13*AN12+AP12*AO13</f>
        <v>76.441149280685437</v>
      </c>
      <c r="AX8">
        <v>6</v>
      </c>
    </row>
    <row r="9" spans="3:50" x14ac:dyDescent="0.2">
      <c r="C9">
        <v>37</v>
      </c>
      <c r="D9" s="662">
        <v>2</v>
      </c>
      <c r="E9" s="662">
        <v>1900</v>
      </c>
      <c r="F9" s="486">
        <f t="shared" ref="F9:F60" si="0">D9/SUM($D$8:$D$60)</f>
        <v>3.15059861373661E-4</v>
      </c>
      <c r="G9" s="486">
        <f t="shared" ref="G9:G61" si="1">D9/SUM($D$8:$D$61)</f>
        <v>3.1104199066874026E-4</v>
      </c>
      <c r="K9" s="686" t="s">
        <v>653</v>
      </c>
      <c r="L9" s="741"/>
      <c r="M9" s="574"/>
      <c r="N9" s="572"/>
      <c r="O9" s="572"/>
      <c r="AO9" s="483">
        <f>AN10*AN13+AP10*AO13</f>
        <v>2.0248515068924326E-2</v>
      </c>
      <c r="AX9">
        <v>7</v>
      </c>
    </row>
    <row r="10" spans="3:50" x14ac:dyDescent="0.2">
      <c r="C10">
        <v>20</v>
      </c>
      <c r="D10" s="662">
        <v>4</v>
      </c>
      <c r="E10" s="662">
        <v>1905</v>
      </c>
      <c r="F10" s="486">
        <f>D10/SUM($D$8:$D$60)</f>
        <v>6.3011972274732201E-4</v>
      </c>
      <c r="G10" s="486">
        <f t="shared" si="1"/>
        <v>6.2208398133748052E-4</v>
      </c>
      <c r="K10" s="572"/>
      <c r="M10" s="574"/>
      <c r="N10" s="686" t="s">
        <v>600</v>
      </c>
      <c r="O10" s="572"/>
      <c r="AI10" s="361">
        <f>AH15*AH14+AJ14*AI15</f>
        <v>83.997515886524809</v>
      </c>
      <c r="AN10" s="112">
        <f>AN11/AN12</f>
        <v>9.4799999999999988E-3</v>
      </c>
      <c r="AO10" s="112"/>
      <c r="AP10" s="112">
        <f>AP11/AP12</f>
        <v>3.0288554542384331E-2</v>
      </c>
      <c r="AX10">
        <v>8</v>
      </c>
    </row>
    <row r="11" spans="3:50" x14ac:dyDescent="0.2">
      <c r="C11">
        <v>50</v>
      </c>
      <c r="D11" s="662">
        <v>25</v>
      </c>
      <c r="E11" s="662">
        <v>1906</v>
      </c>
      <c r="F11" s="486">
        <f>D11/SUM($D$8:$D$60)</f>
        <v>3.9382482671707622E-3</v>
      </c>
      <c r="G11" s="486">
        <f t="shared" si="1"/>
        <v>3.8880248833592537E-3</v>
      </c>
      <c r="K11" s="572">
        <v>1995</v>
      </c>
      <c r="M11" s="574"/>
      <c r="N11" s="692">
        <f>SUM(K17:K65)</f>
        <v>6348</v>
      </c>
      <c r="O11" s="572"/>
      <c r="AI11" s="483">
        <f>AH12*AH15+AI15*AJ12</f>
        <v>1.6690522796034332E-2</v>
      </c>
      <c r="AN11">
        <v>0.94799999999999995</v>
      </c>
      <c r="AP11">
        <v>1.65</v>
      </c>
      <c r="AX11">
        <v>9</v>
      </c>
    </row>
    <row r="12" spans="3:50" x14ac:dyDescent="0.2">
      <c r="C12">
        <v>17</v>
      </c>
      <c r="D12" s="662">
        <v>10</v>
      </c>
      <c r="E12" s="662">
        <v>1909</v>
      </c>
      <c r="F12" s="486">
        <f t="shared" si="0"/>
        <v>1.5752993068683049E-3</v>
      </c>
      <c r="G12" s="486">
        <f t="shared" si="1"/>
        <v>1.5552099533437014E-3</v>
      </c>
      <c r="K12" s="572">
        <f>K11-40</f>
        <v>1955</v>
      </c>
      <c r="M12" s="573" t="s">
        <v>654</v>
      </c>
      <c r="N12" s="692">
        <f>SUM(K17:K48)</f>
        <v>4223</v>
      </c>
      <c r="O12" s="687">
        <f>N12/N11</f>
        <v>0.6652488972904852</v>
      </c>
      <c r="AH12" s="112">
        <f>AH13/AH14</f>
        <v>9.4799999999999988E-3</v>
      </c>
      <c r="AI12" s="112"/>
      <c r="AJ12" s="112">
        <f>AJ13/AJ14</f>
        <v>2.7656261144528193E-2</v>
      </c>
      <c r="AN12">
        <v>100</v>
      </c>
      <c r="AO12" s="426" t="e">
        <f>AVERAGEIF(AO15:AO33,1,AM15:AM33)</f>
        <v>#DIV/0!</v>
      </c>
      <c r="AP12" s="444">
        <f>AP37</f>
        <v>54.476023201802853</v>
      </c>
      <c r="AX12">
        <v>10</v>
      </c>
    </row>
    <row r="13" spans="3:50" x14ac:dyDescent="0.2">
      <c r="C13">
        <v>32</v>
      </c>
      <c r="D13" s="662">
        <v>0</v>
      </c>
      <c r="E13" s="662">
        <v>1909</v>
      </c>
      <c r="F13" s="486">
        <f t="shared" si="0"/>
        <v>0</v>
      </c>
      <c r="G13" s="486">
        <f t="shared" si="1"/>
        <v>0</v>
      </c>
      <c r="K13" s="572">
        <v>2002</v>
      </c>
      <c r="M13" s="574"/>
      <c r="N13" s="572"/>
      <c r="O13" s="687"/>
      <c r="AH13">
        <v>0.94799999999999995</v>
      </c>
      <c r="AJ13">
        <v>1.65</v>
      </c>
      <c r="AN13" s="112">
        <f>AN17+AN18+AN19+AN27+AN35</f>
        <v>0.48249576648919779</v>
      </c>
      <c r="AO13" s="431">
        <f>1-AN13</f>
        <v>0.51750423351080221</v>
      </c>
      <c r="AX13">
        <v>11</v>
      </c>
    </row>
    <row r="14" spans="3:50" x14ac:dyDescent="0.2">
      <c r="C14">
        <v>35</v>
      </c>
      <c r="D14" s="662">
        <v>6</v>
      </c>
      <c r="E14" s="662">
        <v>1909</v>
      </c>
      <c r="F14" s="486">
        <f>D14/SUM($D$8:$D$60)</f>
        <v>9.4517958412098301E-4</v>
      </c>
      <c r="G14" s="486">
        <f t="shared" si="1"/>
        <v>9.3312597200622088E-4</v>
      </c>
      <c r="K14" s="572">
        <f>K13-40</f>
        <v>1962</v>
      </c>
      <c r="M14" s="574"/>
      <c r="N14" s="692">
        <f>SUM(K17:K55)</f>
        <v>5904</v>
      </c>
      <c r="O14" s="687">
        <f>N14/N11</f>
        <v>0.93005671077504726</v>
      </c>
      <c r="AH14">
        <v>100</v>
      </c>
      <c r="AI14" s="426">
        <f>AVERAGEIF(AI17:AI35,1,AG17:AG35)</f>
        <v>55.714285714285715</v>
      </c>
      <c r="AJ14" s="444">
        <f>SUM(AJ17:AJ35)/SUM(AK17:AK35)</f>
        <v>59.660992907801401</v>
      </c>
      <c r="AM14" t="s">
        <v>683</v>
      </c>
      <c r="AX14">
        <v>12</v>
      </c>
    </row>
    <row r="15" spans="3:50" x14ac:dyDescent="0.2">
      <c r="C15">
        <v>44</v>
      </c>
      <c r="D15" s="662">
        <v>10</v>
      </c>
      <c r="E15" s="662">
        <v>1910</v>
      </c>
      <c r="F15" s="486">
        <f t="shared" si="0"/>
        <v>1.5752993068683049E-3</v>
      </c>
      <c r="G15" s="486">
        <f t="shared" si="1"/>
        <v>1.5552099533437014E-3</v>
      </c>
      <c r="AF15" s="427">
        <v>6206228777</v>
      </c>
      <c r="AH15" s="112">
        <f>SUMPRODUCT(AH17:AH35,AF17:AF35)</f>
        <v>0.60330000000000006</v>
      </c>
      <c r="AI15" s="431">
        <f>1-AH15</f>
        <v>0.39669999999999994</v>
      </c>
      <c r="AN15" s="431">
        <f>SUM(AN17:AN35)</f>
        <v>1</v>
      </c>
      <c r="AO15" s="431">
        <f>SUM(AO17:AO35)</f>
        <v>0.5175042335108021</v>
      </c>
      <c r="AP15" s="431">
        <f>SUM(AP17:AP35)</f>
        <v>0.99999999999999989</v>
      </c>
      <c r="AX15">
        <v>13</v>
      </c>
    </row>
    <row r="16" spans="3:50" ht="15" customHeight="1" x14ac:dyDescent="0.2">
      <c r="C16">
        <v>16</v>
      </c>
      <c r="D16" s="662">
        <v>2</v>
      </c>
      <c r="E16" s="662">
        <v>1911</v>
      </c>
      <c r="F16" s="486">
        <f t="shared" si="0"/>
        <v>3.15059861373661E-4</v>
      </c>
      <c r="G16" s="486">
        <f t="shared" si="1"/>
        <v>3.1104199066874026E-4</v>
      </c>
      <c r="K16" s="18" t="s">
        <v>647</v>
      </c>
      <c r="L16" s="736" t="s">
        <v>869</v>
      </c>
      <c r="M16" s="473" t="s">
        <v>646</v>
      </c>
      <c r="N16" s="457" t="s">
        <v>648</v>
      </c>
      <c r="O16" s="457" t="s">
        <v>745</v>
      </c>
      <c r="P16" s="457" t="s">
        <v>649</v>
      </c>
      <c r="Q16" s="457" t="s">
        <v>650</v>
      </c>
      <c r="AE16" t="s">
        <v>684</v>
      </c>
      <c r="AF16" s="431">
        <f>SUM(AF17:AF35)</f>
        <v>0.95579999999999998</v>
      </c>
      <c r="AH16" t="s">
        <v>681</v>
      </c>
      <c r="AI16" t="s">
        <v>682</v>
      </c>
      <c r="AM16" t="s">
        <v>685</v>
      </c>
      <c r="AN16" t="s">
        <v>686</v>
      </c>
      <c r="AX16">
        <v>14</v>
      </c>
    </row>
    <row r="17" spans="3:50" x14ac:dyDescent="0.2">
      <c r="C17">
        <v>36</v>
      </c>
      <c r="D17" s="662">
        <v>4</v>
      </c>
      <c r="E17" s="662">
        <v>1911</v>
      </c>
      <c r="F17" s="486">
        <f t="shared" si="0"/>
        <v>6.3011972274732201E-4</v>
      </c>
      <c r="G17" s="486">
        <f t="shared" si="1"/>
        <v>6.2208398133748052E-4</v>
      </c>
      <c r="J17">
        <v>1924</v>
      </c>
      <c r="K17" s="361">
        <f>SUMIF($E$8:$E$60,J17,$D$8:$D$60)+SUM(D8:D30)</f>
        <v>668</v>
      </c>
      <c r="L17" s="742">
        <f>K17/SUM($K$17:$K$65)</f>
        <v>0.10522999369880277</v>
      </c>
      <c r="M17" s="544">
        <f t="shared" ref="M17:M64" si="2">73-(1972-J17)</f>
        <v>25</v>
      </c>
      <c r="N17" s="426">
        <f t="shared" ref="N17:N65" si="3">K17*M17/73</f>
        <v>228.76712328767124</v>
      </c>
      <c r="O17" s="112">
        <f t="shared" ref="O17:O48" si="4">N17/SUM($N$17:$N$65)</f>
        <v>5.1698304790915965E-2</v>
      </c>
      <c r="AE17" s="432">
        <f>$AF$15*AF17</f>
        <v>1228212674.9682999</v>
      </c>
      <c r="AF17" s="112">
        <v>0.19789999999999999</v>
      </c>
      <c r="AG17">
        <v>100</v>
      </c>
      <c r="AH17" s="481">
        <v>1</v>
      </c>
      <c r="AI17" s="481"/>
      <c r="AL17" s="483"/>
      <c r="AM17" s="427">
        <f>AE17/AG17</f>
        <v>12282126.749682998</v>
      </c>
      <c r="AN17" s="112">
        <f>AM17/SUM($AM$17:$AM$35)</f>
        <v>0.15827268720074958</v>
      </c>
      <c r="AO17" s="483"/>
      <c r="AX17">
        <v>15</v>
      </c>
    </row>
    <row r="18" spans="3:50" x14ac:dyDescent="0.2">
      <c r="C18">
        <v>29</v>
      </c>
      <c r="D18" s="662">
        <v>3</v>
      </c>
      <c r="E18" s="662">
        <v>1912</v>
      </c>
      <c r="F18" s="486">
        <f t="shared" si="0"/>
        <v>4.7258979206049151E-4</v>
      </c>
      <c r="G18" s="486">
        <f t="shared" si="1"/>
        <v>4.6656298600311044E-4</v>
      </c>
      <c r="J18">
        <v>1925</v>
      </c>
      <c r="K18" s="361">
        <f t="shared" ref="K18:K65" si="5">SUMIF($E$8:$E$60,J18,$D$8:$D$60)</f>
        <v>9</v>
      </c>
      <c r="L18" s="742">
        <f t="shared" ref="L18:L65" si="6">K18/SUM($K$17:$K$65)</f>
        <v>1.4177693761814746E-3</v>
      </c>
      <c r="M18" s="544">
        <f t="shared" si="2"/>
        <v>26</v>
      </c>
      <c r="N18" s="426">
        <f t="shared" si="3"/>
        <v>3.2054794520547945</v>
      </c>
      <c r="O18" s="112">
        <f t="shared" si="4"/>
        <v>7.2439540844756501E-4</v>
      </c>
      <c r="P18" s="112"/>
      <c r="Q18" s="431"/>
      <c r="R18">
        <v>1</v>
      </c>
      <c r="S18" s="452">
        <f t="shared" ref="S18:S26" si="7">R18/(SUM($M$17:$M$65)+SUM($R$18:$R$26))</f>
        <v>4.0883074407195422E-4</v>
      </c>
      <c r="T18" s="452"/>
      <c r="U18" s="452"/>
      <c r="V18" s="452"/>
      <c r="W18" s="452"/>
      <c r="X18" s="452"/>
      <c r="Y18" s="452"/>
      <c r="Z18" s="452"/>
      <c r="AA18" s="452"/>
      <c r="AE18" s="432">
        <f t="shared" ref="AE18:AE35" si="8">$AF$15*AF18</f>
        <v>1380885902.8824999</v>
      </c>
      <c r="AF18" s="112">
        <v>0.2225</v>
      </c>
      <c r="AG18">
        <v>100</v>
      </c>
      <c r="AH18" s="481">
        <v>1</v>
      </c>
      <c r="AI18" s="481"/>
      <c r="AL18" s="483"/>
      <c r="AM18" s="427">
        <f t="shared" ref="AM18:AM35" si="9">AE18/AG18</f>
        <v>13808859.028825</v>
      </c>
      <c r="AN18" s="112">
        <f t="shared" ref="AN18:AN35" si="10">AM18/SUM($AM$17:$AM$35)</f>
        <v>0.17794680597355628</v>
      </c>
      <c r="AX18">
        <v>16</v>
      </c>
    </row>
    <row r="19" spans="3:50" x14ac:dyDescent="0.2">
      <c r="C19">
        <v>24</v>
      </c>
      <c r="D19" s="662">
        <v>3</v>
      </c>
      <c r="E19" s="662">
        <v>1913</v>
      </c>
      <c r="F19" s="486">
        <f t="shared" si="0"/>
        <v>4.7258979206049151E-4</v>
      </c>
      <c r="G19" s="486">
        <f t="shared" si="1"/>
        <v>4.6656298600311044E-4</v>
      </c>
      <c r="J19">
        <v>1926</v>
      </c>
      <c r="K19" s="361">
        <f t="shared" si="5"/>
        <v>1</v>
      </c>
      <c r="L19" s="742">
        <f t="shared" si="6"/>
        <v>1.575299306868305E-4</v>
      </c>
      <c r="M19" s="544">
        <f t="shared" si="2"/>
        <v>27</v>
      </c>
      <c r="N19" s="426">
        <f t="shared" si="3"/>
        <v>0.36986301369863012</v>
      </c>
      <c r="O19" s="112">
        <f t="shared" si="4"/>
        <v>8.3584085590103653E-5</v>
      </c>
      <c r="P19" s="112"/>
      <c r="Q19" s="431"/>
      <c r="R19">
        <v>2</v>
      </c>
      <c r="S19" s="452">
        <f t="shared" si="7"/>
        <v>8.1766148814390845E-4</v>
      </c>
      <c r="T19" s="452"/>
      <c r="U19" s="452"/>
      <c r="V19" s="452"/>
      <c r="W19" s="452"/>
      <c r="X19" s="452"/>
      <c r="Y19" s="452"/>
      <c r="Z19" s="452"/>
      <c r="AA19" s="452"/>
      <c r="AE19" s="432">
        <f t="shared" si="8"/>
        <v>991755358.56459999</v>
      </c>
      <c r="AF19" s="112">
        <v>0.1598</v>
      </c>
      <c r="AG19">
        <v>100</v>
      </c>
      <c r="AH19" s="481">
        <v>1</v>
      </c>
      <c r="AI19" s="481"/>
      <c r="AL19" s="483"/>
      <c r="AM19" s="427">
        <f t="shared" si="9"/>
        <v>9917553.5856459998</v>
      </c>
      <c r="AN19" s="112">
        <f t="shared" si="10"/>
        <v>0.12780179593067098</v>
      </c>
      <c r="AX19">
        <v>17</v>
      </c>
    </row>
    <row r="20" spans="3:50" x14ac:dyDescent="0.2">
      <c r="C20">
        <v>23</v>
      </c>
      <c r="D20" s="662">
        <v>6</v>
      </c>
      <c r="E20" s="662">
        <v>1915</v>
      </c>
      <c r="F20" s="486">
        <f t="shared" si="0"/>
        <v>9.4517958412098301E-4</v>
      </c>
      <c r="G20" s="486">
        <f t="shared" si="1"/>
        <v>9.3312597200622088E-4</v>
      </c>
      <c r="J20">
        <v>1927</v>
      </c>
      <c r="K20" s="361">
        <f t="shared" si="5"/>
        <v>0</v>
      </c>
      <c r="L20" s="742">
        <f t="shared" si="6"/>
        <v>0</v>
      </c>
      <c r="M20" s="544">
        <f t="shared" si="2"/>
        <v>28</v>
      </c>
      <c r="N20" s="426">
        <f t="shared" si="3"/>
        <v>0</v>
      </c>
      <c r="O20" s="112">
        <f t="shared" si="4"/>
        <v>0</v>
      </c>
      <c r="P20" s="112"/>
      <c r="Q20" s="431"/>
      <c r="R20">
        <v>3</v>
      </c>
      <c r="S20" s="452">
        <f t="shared" si="7"/>
        <v>1.2264922322158627E-3</v>
      </c>
      <c r="T20" s="452"/>
      <c r="U20" s="452"/>
      <c r="V20" s="452"/>
      <c r="W20" s="452"/>
      <c r="X20" s="452"/>
      <c r="Y20" s="452"/>
      <c r="Z20" s="452"/>
      <c r="AA20" s="452"/>
      <c r="AE20" s="432">
        <f t="shared" si="8"/>
        <v>361202514.82139999</v>
      </c>
      <c r="AF20" s="112">
        <v>5.8200000000000002E-2</v>
      </c>
      <c r="AG20">
        <v>50</v>
      </c>
      <c r="AH20" s="481"/>
      <c r="AI20" s="481">
        <v>1</v>
      </c>
      <c r="AJ20">
        <f>AF20*AG20</f>
        <v>2.91</v>
      </c>
      <c r="AK20" s="431">
        <f>AF20</f>
        <v>5.8200000000000002E-2</v>
      </c>
      <c r="AL20" s="483"/>
      <c r="AM20" s="427">
        <f t="shared" si="9"/>
        <v>7224050.2964279996</v>
      </c>
      <c r="AN20" s="112">
        <f t="shared" si="10"/>
        <v>9.3092171754255951E-2</v>
      </c>
      <c r="AO20" s="431">
        <f>AN20</f>
        <v>9.3092171754255951E-2</v>
      </c>
      <c r="AP20" s="428">
        <f>AO20/SUM($AO$20:$AO$34)</f>
        <v>0.17988678299829367</v>
      </c>
      <c r="AX20">
        <v>18</v>
      </c>
    </row>
    <row r="21" spans="3:50" x14ac:dyDescent="0.2">
      <c r="C21">
        <v>30</v>
      </c>
      <c r="D21" s="662">
        <v>2</v>
      </c>
      <c r="E21" s="662">
        <v>1915</v>
      </c>
      <c r="F21" s="486">
        <f t="shared" si="0"/>
        <v>3.15059861373661E-4</v>
      </c>
      <c r="G21" s="486">
        <f t="shared" si="1"/>
        <v>3.1104199066874026E-4</v>
      </c>
      <c r="J21">
        <v>1928</v>
      </c>
      <c r="K21" s="361">
        <f t="shared" si="5"/>
        <v>2</v>
      </c>
      <c r="L21" s="742">
        <f t="shared" si="6"/>
        <v>3.15059861373661E-4</v>
      </c>
      <c r="M21" s="544">
        <f t="shared" si="2"/>
        <v>29</v>
      </c>
      <c r="N21" s="426">
        <f t="shared" si="3"/>
        <v>0.79452054794520544</v>
      </c>
      <c r="O21" s="112">
        <f t="shared" si="4"/>
        <v>1.7955099867503747E-4</v>
      </c>
      <c r="P21" s="112" t="e">
        <f>#REF!/(SUM($M$17:$M$65)+SUM($R$18:$R$26))</f>
        <v>#REF!</v>
      </c>
      <c r="Q21" s="431" t="e">
        <f>#REF!-P21</f>
        <v>#REF!</v>
      </c>
      <c r="R21">
        <v>4</v>
      </c>
      <c r="S21" s="452">
        <f t="shared" si="7"/>
        <v>1.6353229762878169E-3</v>
      </c>
      <c r="T21" s="452"/>
      <c r="U21" s="452"/>
      <c r="V21" s="452"/>
      <c r="W21" s="452"/>
      <c r="X21" s="452"/>
      <c r="Y21" s="452"/>
      <c r="Z21" s="452"/>
      <c r="AA21" s="452"/>
      <c r="AE21" s="432">
        <f t="shared" si="8"/>
        <v>292933998.2744</v>
      </c>
      <c r="AF21" s="112">
        <v>4.7199999999999999E-2</v>
      </c>
      <c r="AG21">
        <v>75</v>
      </c>
      <c r="AH21" s="481"/>
      <c r="AI21" s="481">
        <v>1</v>
      </c>
      <c r="AJ21">
        <f t="shared" ref="AJ21:AJ34" si="11">AF21*AG21</f>
        <v>3.54</v>
      </c>
      <c r="AK21" s="431">
        <f t="shared" ref="AK21:AK34" si="12">AF21</f>
        <v>4.7199999999999999E-2</v>
      </c>
      <c r="AL21" s="483"/>
      <c r="AM21" s="427">
        <f t="shared" si="9"/>
        <v>3905786.6436586664</v>
      </c>
      <c r="AN21" s="112">
        <f t="shared" si="10"/>
        <v>5.0331620925554189E-2</v>
      </c>
      <c r="AO21" s="431">
        <f t="shared" ref="AO21:AO34" si="13">AN21</f>
        <v>5.0331620925554189E-2</v>
      </c>
      <c r="AP21" s="428">
        <f t="shared" ref="AP21:AP34" si="14">AO21/SUM($AO$20:$AO$34)</f>
        <v>9.7258375229317989E-2</v>
      </c>
      <c r="AX21">
        <v>19</v>
      </c>
    </row>
    <row r="22" spans="3:50" x14ac:dyDescent="0.2">
      <c r="C22">
        <v>38</v>
      </c>
      <c r="D22" s="662">
        <v>5</v>
      </c>
      <c r="E22" s="662">
        <v>1916</v>
      </c>
      <c r="F22" s="486">
        <f t="shared" si="0"/>
        <v>7.8764965343415246E-4</v>
      </c>
      <c r="G22" s="486">
        <f t="shared" si="1"/>
        <v>7.776049766718507E-4</v>
      </c>
      <c r="J22">
        <v>1929</v>
      </c>
      <c r="K22" s="361">
        <f t="shared" si="5"/>
        <v>4</v>
      </c>
      <c r="L22" s="742">
        <f t="shared" si="6"/>
        <v>6.3011972274732201E-4</v>
      </c>
      <c r="M22" s="544">
        <f t="shared" si="2"/>
        <v>30</v>
      </c>
      <c r="N22" s="426">
        <f t="shared" si="3"/>
        <v>1.6438356164383561</v>
      </c>
      <c r="O22" s="112">
        <f t="shared" si="4"/>
        <v>3.714848248449051E-4</v>
      </c>
      <c r="P22" s="112" t="e">
        <f>#REF!/(SUM($M$17:$M$65)+SUM($R$18:$R$26))</f>
        <v>#REF!</v>
      </c>
      <c r="Q22" s="431" t="e">
        <f>#REF!-P22</f>
        <v>#REF!</v>
      </c>
      <c r="R22">
        <v>5</v>
      </c>
      <c r="S22" s="452">
        <f t="shared" si="7"/>
        <v>2.0441537203597709E-3</v>
      </c>
      <c r="T22" s="452"/>
      <c r="U22" s="452"/>
      <c r="V22" s="452"/>
      <c r="W22" s="452"/>
      <c r="X22" s="452"/>
      <c r="Y22" s="452"/>
      <c r="Z22" s="452"/>
      <c r="AA22" s="452"/>
      <c r="AE22" s="432">
        <f t="shared" si="8"/>
        <v>213494269.92879999</v>
      </c>
      <c r="AF22" s="112">
        <v>3.44E-2</v>
      </c>
      <c r="AG22">
        <v>70</v>
      </c>
      <c r="AH22" s="481"/>
      <c r="AI22" s="481">
        <v>1</v>
      </c>
      <c r="AJ22">
        <f t="shared" si="11"/>
        <v>2.4079999999999999</v>
      </c>
      <c r="AK22" s="431">
        <f t="shared" si="12"/>
        <v>3.44E-2</v>
      </c>
      <c r="AL22" s="483"/>
      <c r="AM22" s="427">
        <f t="shared" si="9"/>
        <v>3049918.1418399997</v>
      </c>
      <c r="AN22" s="112">
        <f t="shared" si="10"/>
        <v>3.9302536921286262E-2</v>
      </c>
      <c r="AO22" s="431">
        <f t="shared" si="13"/>
        <v>3.9302536921286262E-2</v>
      </c>
      <c r="AP22" s="428">
        <f t="shared" si="14"/>
        <v>7.5946309955096977E-2</v>
      </c>
      <c r="AX22">
        <v>20</v>
      </c>
    </row>
    <row r="23" spans="3:50" x14ac:dyDescent="0.2">
      <c r="C23">
        <v>9</v>
      </c>
      <c r="D23" s="662">
        <v>5</v>
      </c>
      <c r="E23" s="662">
        <v>1917</v>
      </c>
      <c r="F23" s="486">
        <f t="shared" si="0"/>
        <v>7.8764965343415246E-4</v>
      </c>
      <c r="G23" s="486">
        <f t="shared" si="1"/>
        <v>7.776049766718507E-4</v>
      </c>
      <c r="J23">
        <v>1930</v>
      </c>
      <c r="K23" s="361">
        <f t="shared" si="5"/>
        <v>69</v>
      </c>
      <c r="L23" s="742">
        <f t="shared" si="6"/>
        <v>1.0869565217391304E-2</v>
      </c>
      <c r="M23" s="544">
        <f t="shared" si="2"/>
        <v>31</v>
      </c>
      <c r="N23" s="426">
        <f t="shared" si="3"/>
        <v>29.301369863013697</v>
      </c>
      <c r="O23" s="112">
        <f t="shared" si="4"/>
        <v>6.6217170028604333E-3</v>
      </c>
      <c r="P23" s="112" t="e">
        <f>#REF!/(SUM($M$17:$M$65)+SUM($R$18:$R$26))</f>
        <v>#REF!</v>
      </c>
      <c r="Q23" s="431" t="e">
        <f>#REF!-P23</f>
        <v>#REF!</v>
      </c>
      <c r="R23">
        <v>6</v>
      </c>
      <c r="S23" s="452">
        <f t="shared" si="7"/>
        <v>2.4529844644317253E-3</v>
      </c>
      <c r="T23" s="452"/>
      <c r="U23" s="452"/>
      <c r="V23" s="452"/>
      <c r="W23" s="452"/>
      <c r="X23" s="452"/>
      <c r="Y23" s="452"/>
      <c r="Z23" s="452"/>
      <c r="AA23" s="452"/>
      <c r="AE23" s="432">
        <f t="shared" si="8"/>
        <v>221562367.33890003</v>
      </c>
      <c r="AF23" s="112">
        <v>3.5700000000000003E-2</v>
      </c>
      <c r="AG23">
        <v>75</v>
      </c>
      <c r="AH23" s="481"/>
      <c r="AI23" s="481">
        <v>1</v>
      </c>
      <c r="AJ23">
        <f t="shared" si="11"/>
        <v>2.6775000000000002</v>
      </c>
      <c r="AK23" s="431">
        <f t="shared" si="12"/>
        <v>3.5700000000000003E-2</v>
      </c>
      <c r="AL23" s="483"/>
      <c r="AM23" s="427">
        <f t="shared" si="9"/>
        <v>2954164.8978520003</v>
      </c>
      <c r="AN23" s="112">
        <f t="shared" si="10"/>
        <v>3.8068620064455189E-2</v>
      </c>
      <c r="AO23" s="431">
        <f t="shared" si="13"/>
        <v>3.8068620064455189E-2</v>
      </c>
      <c r="AP23" s="428">
        <f t="shared" si="14"/>
        <v>7.35619490611579E-2</v>
      </c>
      <c r="AX23">
        <v>21</v>
      </c>
    </row>
    <row r="24" spans="3:50" x14ac:dyDescent="0.2">
      <c r="C24">
        <v>27</v>
      </c>
      <c r="D24" s="662">
        <v>3</v>
      </c>
      <c r="E24" s="662">
        <v>1920</v>
      </c>
      <c r="F24" s="486">
        <f t="shared" si="0"/>
        <v>4.7258979206049151E-4</v>
      </c>
      <c r="G24" s="486">
        <f t="shared" si="1"/>
        <v>4.6656298600311044E-4</v>
      </c>
      <c r="J24">
        <v>1931</v>
      </c>
      <c r="K24" s="361">
        <f t="shared" si="5"/>
        <v>96</v>
      </c>
      <c r="L24" s="742">
        <f t="shared" si="6"/>
        <v>1.5122873345935728E-2</v>
      </c>
      <c r="M24" s="544">
        <f t="shared" si="2"/>
        <v>32</v>
      </c>
      <c r="N24" s="426">
        <f t="shared" si="3"/>
        <v>42.082191780821915</v>
      </c>
      <c r="O24" s="112">
        <f t="shared" si="4"/>
        <v>9.5100115160295703E-3</v>
      </c>
      <c r="P24" s="112" t="e">
        <f>#REF!/(SUM($M$17:$M$65)+SUM($R$18:$R$26))</f>
        <v>#REF!</v>
      </c>
      <c r="Q24" s="431" t="e">
        <f>#REF!-P24</f>
        <v>#REF!</v>
      </c>
      <c r="R24">
        <v>7</v>
      </c>
      <c r="S24" s="452">
        <f t="shared" si="7"/>
        <v>2.8618152085036794E-3</v>
      </c>
      <c r="T24" s="452"/>
      <c r="U24" s="452"/>
      <c r="V24" s="452"/>
      <c r="W24" s="452"/>
      <c r="X24" s="452"/>
      <c r="Y24" s="452"/>
      <c r="Z24" s="452"/>
      <c r="AA24" s="452"/>
      <c r="AE24" s="432">
        <f t="shared" si="8"/>
        <v>219700498.7058</v>
      </c>
      <c r="AF24" s="112">
        <v>3.5400000000000001E-2</v>
      </c>
      <c r="AG24">
        <v>75</v>
      </c>
      <c r="AH24" s="481"/>
      <c r="AI24" s="481">
        <v>1</v>
      </c>
      <c r="AJ24">
        <f t="shared" si="11"/>
        <v>2.6550000000000002</v>
      </c>
      <c r="AK24" s="431">
        <f t="shared" si="12"/>
        <v>3.5400000000000001E-2</v>
      </c>
      <c r="AL24" s="483"/>
      <c r="AM24" s="427">
        <f t="shared" si="9"/>
        <v>2929339.9827439999</v>
      </c>
      <c r="AN24" s="112">
        <f t="shared" si="10"/>
        <v>3.7748715694165644E-2</v>
      </c>
      <c r="AO24" s="431">
        <f t="shared" si="13"/>
        <v>3.7748715694165644E-2</v>
      </c>
      <c r="AP24" s="428">
        <f t="shared" si="14"/>
        <v>7.2943781421988499E-2</v>
      </c>
      <c r="AX24">
        <v>22</v>
      </c>
    </row>
    <row r="25" spans="3:50" x14ac:dyDescent="0.2">
      <c r="C25">
        <v>48</v>
      </c>
      <c r="D25" s="662">
        <v>92</v>
      </c>
      <c r="E25" s="662">
        <v>1920</v>
      </c>
      <c r="F25" s="486">
        <f t="shared" si="0"/>
        <v>1.4492753623188406E-2</v>
      </c>
      <c r="G25" s="486">
        <f t="shared" si="1"/>
        <v>1.4307931570762053E-2</v>
      </c>
      <c r="J25">
        <v>1932</v>
      </c>
      <c r="K25" s="361">
        <f t="shared" si="5"/>
        <v>0</v>
      </c>
      <c r="L25" s="742">
        <f t="shared" si="6"/>
        <v>0</v>
      </c>
      <c r="M25" s="544">
        <f t="shared" si="2"/>
        <v>33</v>
      </c>
      <c r="N25" s="426">
        <f t="shared" si="3"/>
        <v>0</v>
      </c>
      <c r="O25" s="112">
        <f t="shared" si="4"/>
        <v>0</v>
      </c>
      <c r="P25" s="112" t="e">
        <f>#REF!/(SUM($M$17:$M$65)+SUM($R$18:$R$26))</f>
        <v>#REF!</v>
      </c>
      <c r="Q25" s="431" t="e">
        <f>#REF!-P25</f>
        <v>#REF!</v>
      </c>
      <c r="R25">
        <v>8</v>
      </c>
      <c r="S25" s="452">
        <f t="shared" si="7"/>
        <v>3.2706459525756338E-3</v>
      </c>
      <c r="T25" s="452"/>
      <c r="U25" s="452"/>
      <c r="V25" s="452"/>
      <c r="W25" s="452"/>
      <c r="X25" s="452"/>
      <c r="Y25" s="452"/>
      <c r="Z25" s="452"/>
      <c r="AA25" s="452"/>
      <c r="AE25" s="432">
        <f t="shared" si="8"/>
        <v>175636274.38909999</v>
      </c>
      <c r="AF25" s="112">
        <v>2.8299999999999999E-2</v>
      </c>
      <c r="AG25">
        <v>50</v>
      </c>
      <c r="AH25" s="481"/>
      <c r="AI25" s="481">
        <v>1</v>
      </c>
      <c r="AJ25">
        <f t="shared" si="11"/>
        <v>1.415</v>
      </c>
      <c r="AK25" s="431">
        <f t="shared" si="12"/>
        <v>2.8299999999999999E-2</v>
      </c>
      <c r="AL25" s="483"/>
      <c r="AM25" s="427">
        <f t="shared" si="9"/>
        <v>3512725.4877819996</v>
      </c>
      <c r="AN25" s="112">
        <f t="shared" si="10"/>
        <v>4.5266468395969817E-2</v>
      </c>
      <c r="AO25" s="431">
        <f t="shared" si="13"/>
        <v>4.5266468395969817E-2</v>
      </c>
      <c r="AP25" s="428">
        <f t="shared" si="14"/>
        <v>8.7470720942469257E-2</v>
      </c>
      <c r="AX25">
        <v>23</v>
      </c>
    </row>
    <row r="26" spans="3:50" x14ac:dyDescent="0.2">
      <c r="C26">
        <v>21</v>
      </c>
      <c r="D26" s="662">
        <v>8</v>
      </c>
      <c r="E26" s="662">
        <v>1921</v>
      </c>
      <c r="F26" s="486">
        <f t="shared" si="0"/>
        <v>1.260239445494644E-3</v>
      </c>
      <c r="G26" s="486">
        <f t="shared" si="1"/>
        <v>1.244167962674961E-3</v>
      </c>
      <c r="J26">
        <v>1933</v>
      </c>
      <c r="K26" s="361">
        <f t="shared" si="5"/>
        <v>349</v>
      </c>
      <c r="L26" s="742">
        <f t="shared" si="6"/>
        <v>5.4977945809703846E-2</v>
      </c>
      <c r="M26" s="544">
        <f t="shared" si="2"/>
        <v>34</v>
      </c>
      <c r="N26" s="426">
        <f t="shared" si="3"/>
        <v>162.54794520547946</v>
      </c>
      <c r="O26" s="112">
        <f t="shared" si="4"/>
        <v>3.6733657763413703E-2</v>
      </c>
      <c r="P26" s="112" t="e">
        <f>#REF!/(SUM($M$17:$M$65)+SUM($R$18:$R$26))</f>
        <v>#REF!</v>
      </c>
      <c r="Q26" s="431" t="e">
        <f>#REF!-P26</f>
        <v>#REF!</v>
      </c>
      <c r="R26">
        <v>9</v>
      </c>
      <c r="S26" s="452">
        <f t="shared" si="7"/>
        <v>3.6794766966475878E-3</v>
      </c>
      <c r="T26" s="452"/>
      <c r="U26" s="452"/>
      <c r="V26" s="452"/>
      <c r="W26" s="452"/>
      <c r="X26" s="452"/>
      <c r="Y26" s="452"/>
      <c r="Z26" s="452"/>
      <c r="AA26" s="452"/>
      <c r="AE26" s="432">
        <f t="shared" si="8"/>
        <v>114815232.37449999</v>
      </c>
      <c r="AF26" s="112">
        <v>1.8499999999999999E-2</v>
      </c>
      <c r="AG26">
        <v>40</v>
      </c>
      <c r="AH26" s="481"/>
      <c r="AI26" s="481">
        <v>1</v>
      </c>
      <c r="AJ26">
        <f t="shared" si="11"/>
        <v>0.74</v>
      </c>
      <c r="AK26" s="431">
        <f t="shared" si="12"/>
        <v>1.8499999999999999E-2</v>
      </c>
      <c r="AL26" s="483"/>
      <c r="AM26" s="427">
        <f t="shared" si="9"/>
        <v>2870380.8093625</v>
      </c>
      <c r="AN26" s="112">
        <f t="shared" si="10"/>
        <v>3.698894281472799E-2</v>
      </c>
      <c r="AO26" s="431">
        <f t="shared" si="13"/>
        <v>3.698894281472799E-2</v>
      </c>
      <c r="AP26" s="428">
        <f t="shared" si="14"/>
        <v>7.1475633278961198E-2</v>
      </c>
      <c r="AX26">
        <v>24</v>
      </c>
    </row>
    <row r="27" spans="3:50" x14ac:dyDescent="0.2">
      <c r="C27">
        <v>1</v>
      </c>
      <c r="D27" s="662">
        <v>436</v>
      </c>
      <c r="E27" s="662">
        <v>1922</v>
      </c>
      <c r="F27" s="486">
        <f t="shared" si="0"/>
        <v>6.8683049779458091E-2</v>
      </c>
      <c r="G27" s="486">
        <f t="shared" si="1"/>
        <v>6.7807153965785377E-2</v>
      </c>
      <c r="J27">
        <v>1934</v>
      </c>
      <c r="K27" s="361">
        <f t="shared" si="5"/>
        <v>0</v>
      </c>
      <c r="L27" s="742">
        <f t="shared" si="6"/>
        <v>0</v>
      </c>
      <c r="M27" s="544">
        <f t="shared" si="2"/>
        <v>35</v>
      </c>
      <c r="N27" s="426">
        <f t="shared" si="3"/>
        <v>0</v>
      </c>
      <c r="O27" s="112">
        <f t="shared" si="4"/>
        <v>0</v>
      </c>
      <c r="P27" s="112" t="e">
        <f>#REF!/(SUM($M$17:$M$65)+SUM($R$18:$R$26))</f>
        <v>#REF!</v>
      </c>
      <c r="Q27" s="431" t="e">
        <f>#REF!-P27</f>
        <v>#REF!</v>
      </c>
      <c r="AE27" s="432">
        <f t="shared" si="8"/>
        <v>106126512.08670001</v>
      </c>
      <c r="AF27" s="112">
        <v>1.7100000000000001E-2</v>
      </c>
      <c r="AG27">
        <v>100</v>
      </c>
      <c r="AH27" s="481">
        <v>1</v>
      </c>
      <c r="AI27" s="481"/>
      <c r="AK27" s="431"/>
      <c r="AL27" s="483"/>
      <c r="AM27" s="427">
        <f t="shared" si="9"/>
        <v>1061265.120867</v>
      </c>
      <c r="AN27" s="112">
        <f t="shared" si="10"/>
        <v>1.3675911829877808E-2</v>
      </c>
      <c r="AO27" s="431"/>
      <c r="AP27" s="428"/>
      <c r="AX27">
        <v>25</v>
      </c>
    </row>
    <row r="28" spans="3:50" x14ac:dyDescent="0.2">
      <c r="C28">
        <v>34</v>
      </c>
      <c r="D28" s="662">
        <v>10</v>
      </c>
      <c r="E28" s="662">
        <v>1922</v>
      </c>
      <c r="F28" s="486">
        <f t="shared" si="0"/>
        <v>1.5752993068683049E-3</v>
      </c>
      <c r="G28" s="486">
        <f t="shared" si="1"/>
        <v>1.5552099533437014E-3</v>
      </c>
      <c r="J28">
        <v>1935</v>
      </c>
      <c r="K28" s="361">
        <f t="shared" si="5"/>
        <v>0</v>
      </c>
      <c r="L28" s="742">
        <f t="shared" si="6"/>
        <v>0</v>
      </c>
      <c r="M28" s="544">
        <f t="shared" si="2"/>
        <v>36</v>
      </c>
      <c r="N28" s="426">
        <f t="shared" si="3"/>
        <v>0</v>
      </c>
      <c r="O28" s="112">
        <f t="shared" si="4"/>
        <v>0</v>
      </c>
      <c r="P28" s="112" t="e">
        <f>#REF!/(SUM($M$17:$M$65)+SUM($R$18:$R$26))</f>
        <v>#REF!</v>
      </c>
      <c r="Q28" s="431" t="e">
        <f>#REF!-P28</f>
        <v>#REF!</v>
      </c>
      <c r="AE28" s="432">
        <f t="shared" si="8"/>
        <v>96817168.921199992</v>
      </c>
      <c r="AF28" s="112">
        <v>1.5599999999999999E-2</v>
      </c>
      <c r="AG28">
        <v>40</v>
      </c>
      <c r="AH28" s="481"/>
      <c r="AI28" s="481">
        <v>1</v>
      </c>
      <c r="AJ28">
        <f t="shared" si="11"/>
        <v>0.624</v>
      </c>
      <c r="AK28" s="431">
        <f t="shared" si="12"/>
        <v>1.5599999999999999E-2</v>
      </c>
      <c r="AL28" s="483"/>
      <c r="AM28" s="427">
        <f t="shared" si="9"/>
        <v>2420429.22303</v>
      </c>
      <c r="AN28" s="112">
        <f t="shared" si="10"/>
        <v>3.1190676103230088E-2</v>
      </c>
      <c r="AO28" s="431">
        <f t="shared" si="13"/>
        <v>3.1190676103230088E-2</v>
      </c>
      <c r="AP28" s="428">
        <f t="shared" si="14"/>
        <v>6.0271344819015922E-2</v>
      </c>
      <c r="AX28">
        <v>26</v>
      </c>
    </row>
    <row r="29" spans="3:50" x14ac:dyDescent="0.2">
      <c r="C29">
        <v>19</v>
      </c>
      <c r="D29" s="662">
        <v>1</v>
      </c>
      <c r="E29" s="662">
        <v>1923</v>
      </c>
      <c r="F29" s="486">
        <f t="shared" si="0"/>
        <v>1.575299306868305E-4</v>
      </c>
      <c r="G29" s="486">
        <f t="shared" si="1"/>
        <v>1.5552099533437013E-4</v>
      </c>
      <c r="J29">
        <v>1936</v>
      </c>
      <c r="K29" s="361">
        <f t="shared" si="5"/>
        <v>0</v>
      </c>
      <c r="L29" s="742">
        <f t="shared" si="6"/>
        <v>0</v>
      </c>
      <c r="M29" s="544">
        <f t="shared" si="2"/>
        <v>37</v>
      </c>
      <c r="N29" s="426">
        <f t="shared" si="3"/>
        <v>0</v>
      </c>
      <c r="O29" s="112">
        <f t="shared" si="4"/>
        <v>0</v>
      </c>
      <c r="P29" s="112" t="e">
        <f>#REF!/(SUM($M$17:$M$65)+SUM($R$18:$R$26))</f>
        <v>#REF!</v>
      </c>
      <c r="Q29" s="431" t="e">
        <f>#REF!-P29</f>
        <v>#REF!</v>
      </c>
      <c r="AE29" s="432">
        <f t="shared" si="8"/>
        <v>101161529.06509998</v>
      </c>
      <c r="AF29" s="112">
        <v>1.6299999999999999E-2</v>
      </c>
      <c r="AG29">
        <v>55</v>
      </c>
      <c r="AH29" s="481"/>
      <c r="AI29" s="481">
        <v>1</v>
      </c>
      <c r="AJ29">
        <f t="shared" si="11"/>
        <v>0.89649999999999996</v>
      </c>
      <c r="AK29" s="431">
        <f t="shared" si="12"/>
        <v>1.6299999999999999E-2</v>
      </c>
      <c r="AL29" s="483"/>
      <c r="AM29" s="427">
        <f t="shared" si="9"/>
        <v>1839300.5284563634</v>
      </c>
      <c r="AN29" s="112">
        <f t="shared" si="10"/>
        <v>2.3702005616906777E-2</v>
      </c>
      <c r="AO29" s="431">
        <f t="shared" si="13"/>
        <v>2.3702005616906777E-2</v>
      </c>
      <c r="AP29" s="428">
        <f t="shared" si="14"/>
        <v>4.5800602356641462E-2</v>
      </c>
      <c r="AX29">
        <v>27</v>
      </c>
    </row>
    <row r="30" spans="3:50" x14ac:dyDescent="0.2">
      <c r="C30">
        <v>45</v>
      </c>
      <c r="D30" s="662">
        <v>3</v>
      </c>
      <c r="E30" s="662">
        <v>1923</v>
      </c>
      <c r="F30" s="486">
        <f t="shared" si="0"/>
        <v>4.7258979206049151E-4</v>
      </c>
      <c r="G30" s="486">
        <f t="shared" si="1"/>
        <v>4.6656298600311044E-4</v>
      </c>
      <c r="J30">
        <v>1937</v>
      </c>
      <c r="K30" s="361">
        <f t="shared" si="5"/>
        <v>0</v>
      </c>
      <c r="L30" s="742">
        <f t="shared" si="6"/>
        <v>0</v>
      </c>
      <c r="M30" s="544">
        <f t="shared" si="2"/>
        <v>38</v>
      </c>
      <c r="N30" s="426">
        <f t="shared" si="3"/>
        <v>0</v>
      </c>
      <c r="O30" s="112">
        <f t="shared" si="4"/>
        <v>0</v>
      </c>
      <c r="P30" s="112">
        <f t="shared" ref="P30:P61" si="15">M17/(SUM($M$17:$M$65)+SUM($R$18:$R$26))</f>
        <v>1.0220768601798855E-2</v>
      </c>
      <c r="Q30" s="431">
        <f t="shared" ref="Q30:Q61" si="16">O17-P30</f>
        <v>4.1477536189117106E-2</v>
      </c>
      <c r="AE30" s="432">
        <f t="shared" si="8"/>
        <v>85025334.244900003</v>
      </c>
      <c r="AF30" s="112">
        <v>1.37E-2</v>
      </c>
      <c r="AG30">
        <v>45</v>
      </c>
      <c r="AH30" s="481"/>
      <c r="AI30" s="481">
        <v>1</v>
      </c>
      <c r="AJ30">
        <f t="shared" si="11"/>
        <v>0.61650000000000005</v>
      </c>
      <c r="AK30" s="431">
        <f t="shared" si="12"/>
        <v>1.37E-2</v>
      </c>
      <c r="AL30" s="483"/>
      <c r="AM30" s="427">
        <f t="shared" si="9"/>
        <v>1889451.872108889</v>
      </c>
      <c r="AN30" s="112">
        <f t="shared" si="10"/>
        <v>2.4348277072037166E-2</v>
      </c>
      <c r="AO30" s="431">
        <f t="shared" si="13"/>
        <v>2.4348277072037166E-2</v>
      </c>
      <c r="AP30" s="428">
        <f t="shared" si="14"/>
        <v>4.7049425870115E-2</v>
      </c>
      <c r="AX30">
        <v>28</v>
      </c>
    </row>
    <row r="31" spans="3:50" x14ac:dyDescent="0.2">
      <c r="C31">
        <v>31</v>
      </c>
      <c r="D31" s="662">
        <v>5</v>
      </c>
      <c r="E31" s="662">
        <v>1924</v>
      </c>
      <c r="F31" s="486">
        <f t="shared" si="0"/>
        <v>7.8764965343415246E-4</v>
      </c>
      <c r="G31" s="486">
        <f t="shared" si="1"/>
        <v>7.776049766718507E-4</v>
      </c>
      <c r="J31">
        <v>1938</v>
      </c>
      <c r="K31" s="361">
        <f t="shared" si="5"/>
        <v>8</v>
      </c>
      <c r="L31" s="742">
        <f t="shared" si="6"/>
        <v>1.260239445494644E-3</v>
      </c>
      <c r="M31" s="544">
        <f t="shared" si="2"/>
        <v>39</v>
      </c>
      <c r="N31" s="426">
        <f t="shared" si="3"/>
        <v>4.2739726027397262</v>
      </c>
      <c r="O31" s="112">
        <f t="shared" si="4"/>
        <v>9.6586054459675335E-4</v>
      </c>
      <c r="P31" s="112">
        <f t="shared" si="15"/>
        <v>1.0629599345870809E-2</v>
      </c>
      <c r="Q31" s="431">
        <f t="shared" si="16"/>
        <v>-9.9052039374232445E-3</v>
      </c>
      <c r="AE31" s="432">
        <f t="shared" si="8"/>
        <v>83784088.489500001</v>
      </c>
      <c r="AF31" s="112">
        <v>1.35E-2</v>
      </c>
      <c r="AG31">
        <v>75</v>
      </c>
      <c r="AH31" s="481"/>
      <c r="AI31" s="481">
        <v>1</v>
      </c>
      <c r="AJ31">
        <f t="shared" si="11"/>
        <v>1.0125</v>
      </c>
      <c r="AK31" s="431">
        <f t="shared" si="12"/>
        <v>1.35E-2</v>
      </c>
      <c r="AL31" s="483"/>
      <c r="AM31" s="427">
        <f t="shared" si="9"/>
        <v>1117121.17986</v>
      </c>
      <c r="AN31" s="112">
        <f t="shared" si="10"/>
        <v>1.4395696663029273E-2</v>
      </c>
      <c r="AO31" s="431">
        <f t="shared" si="13"/>
        <v>1.4395696663029273E-2</v>
      </c>
      <c r="AP31" s="428">
        <f t="shared" si="14"/>
        <v>2.7817543762622736E-2</v>
      </c>
      <c r="AX31">
        <v>29</v>
      </c>
    </row>
    <row r="32" spans="3:50" x14ac:dyDescent="0.2">
      <c r="C32">
        <v>25</v>
      </c>
      <c r="D32" s="662">
        <v>4</v>
      </c>
      <c r="E32" s="662">
        <v>1925</v>
      </c>
      <c r="F32" s="486">
        <f>D32/SUM($D$8:$D$60)</f>
        <v>6.3011972274732201E-4</v>
      </c>
      <c r="G32" s="486">
        <f t="shared" si="1"/>
        <v>6.2208398133748052E-4</v>
      </c>
      <c r="J32">
        <v>1939</v>
      </c>
      <c r="K32" s="361">
        <f t="shared" si="5"/>
        <v>0</v>
      </c>
      <c r="L32" s="742">
        <f t="shared" si="6"/>
        <v>0</v>
      </c>
      <c r="M32" s="544">
        <f t="shared" si="2"/>
        <v>40</v>
      </c>
      <c r="N32" s="426">
        <f t="shared" si="3"/>
        <v>0</v>
      </c>
      <c r="O32" s="112">
        <f t="shared" si="4"/>
        <v>0</v>
      </c>
      <c r="P32" s="112">
        <f t="shared" si="15"/>
        <v>1.1038430089942763E-2</v>
      </c>
      <c r="Q32" s="431">
        <f t="shared" si="16"/>
        <v>-1.095484600435266E-2</v>
      </c>
      <c r="AE32" s="432">
        <f t="shared" si="8"/>
        <v>76957236.83479999</v>
      </c>
      <c r="AF32" s="112">
        <v>1.24E-2</v>
      </c>
      <c r="AG32">
        <v>25</v>
      </c>
      <c r="AH32" s="481"/>
      <c r="AI32" s="481">
        <v>1</v>
      </c>
      <c r="AJ32">
        <f t="shared" si="11"/>
        <v>0.31</v>
      </c>
      <c r="AK32" s="431">
        <f t="shared" si="12"/>
        <v>1.24E-2</v>
      </c>
      <c r="AL32" s="483"/>
      <c r="AM32" s="427">
        <f t="shared" si="9"/>
        <v>3078289.4733919995</v>
      </c>
      <c r="AN32" s="112">
        <f t="shared" si="10"/>
        <v>3.9668141915902878E-2</v>
      </c>
      <c r="AO32" s="431">
        <f t="shared" si="13"/>
        <v>3.9668141915902878E-2</v>
      </c>
      <c r="AP32" s="428">
        <f t="shared" si="14"/>
        <v>7.6652787257004862E-2</v>
      </c>
      <c r="AX32">
        <v>30</v>
      </c>
    </row>
    <row r="33" spans="3:50" x14ac:dyDescent="0.2">
      <c r="C33">
        <v>39</v>
      </c>
      <c r="D33" s="662">
        <v>5</v>
      </c>
      <c r="E33" s="662">
        <v>1925</v>
      </c>
      <c r="F33" s="486">
        <f t="shared" si="0"/>
        <v>7.8764965343415246E-4</v>
      </c>
      <c r="G33" s="486">
        <f>D33/SUM($D$8:$D$61)</f>
        <v>7.776049766718507E-4</v>
      </c>
      <c r="J33">
        <v>1940</v>
      </c>
      <c r="K33" s="361">
        <f t="shared" si="5"/>
        <v>0</v>
      </c>
      <c r="L33" s="742">
        <f t="shared" si="6"/>
        <v>0</v>
      </c>
      <c r="M33" s="544">
        <f t="shared" si="2"/>
        <v>41</v>
      </c>
      <c r="N33" s="426">
        <f t="shared" si="3"/>
        <v>0</v>
      </c>
      <c r="O33" s="112">
        <f t="shared" si="4"/>
        <v>0</v>
      </c>
      <c r="P33" s="112">
        <f t="shared" si="15"/>
        <v>1.1447260834014717E-2</v>
      </c>
      <c r="Q33" s="431">
        <f t="shared" si="16"/>
        <v>-1.1447260834014717E-2</v>
      </c>
      <c r="AE33" s="432">
        <f t="shared" si="8"/>
        <v>71992253.813199997</v>
      </c>
      <c r="AF33" s="112">
        <v>1.1599999999999999E-2</v>
      </c>
      <c r="AG33">
        <v>30</v>
      </c>
      <c r="AH33" s="481"/>
      <c r="AI33" s="481">
        <v>1</v>
      </c>
      <c r="AJ33">
        <f t="shared" si="11"/>
        <v>0.34799999999999998</v>
      </c>
      <c r="AK33" s="431">
        <f t="shared" si="12"/>
        <v>1.1599999999999999E-2</v>
      </c>
      <c r="AL33" s="483"/>
      <c r="AM33" s="427">
        <f t="shared" si="9"/>
        <v>2399741.7937733331</v>
      </c>
      <c r="AN33" s="112">
        <f t="shared" si="10"/>
        <v>3.0924089127988802E-2</v>
      </c>
      <c r="AO33" s="431">
        <f t="shared" si="13"/>
        <v>3.0924089127988802E-2</v>
      </c>
      <c r="AP33" s="428">
        <f t="shared" si="14"/>
        <v>5.9756205119708083E-2</v>
      </c>
      <c r="AX33">
        <v>31</v>
      </c>
    </row>
    <row r="34" spans="3:50" x14ac:dyDescent="0.2">
      <c r="C34">
        <v>26</v>
      </c>
      <c r="D34" s="662">
        <v>1</v>
      </c>
      <c r="E34" s="662">
        <v>1926</v>
      </c>
      <c r="F34" s="486">
        <f t="shared" si="0"/>
        <v>1.575299306868305E-4</v>
      </c>
      <c r="G34" s="486">
        <f t="shared" si="1"/>
        <v>1.5552099533437013E-4</v>
      </c>
      <c r="J34">
        <v>1941</v>
      </c>
      <c r="K34" s="361">
        <f t="shared" si="5"/>
        <v>8</v>
      </c>
      <c r="L34" s="742">
        <f t="shared" si="6"/>
        <v>1.260239445494644E-3</v>
      </c>
      <c r="M34" s="544">
        <f t="shared" si="2"/>
        <v>42</v>
      </c>
      <c r="N34" s="426">
        <f t="shared" si="3"/>
        <v>4.602739726027397</v>
      </c>
      <c r="O34" s="112">
        <f t="shared" si="4"/>
        <v>1.0401575095657343E-3</v>
      </c>
      <c r="P34" s="112">
        <f t="shared" si="15"/>
        <v>1.1856091578086671E-2</v>
      </c>
      <c r="Q34" s="431">
        <f t="shared" si="16"/>
        <v>-1.1676540579411634E-2</v>
      </c>
      <c r="AE34" s="432">
        <f t="shared" si="8"/>
        <v>72612876.690899998</v>
      </c>
      <c r="AF34" s="112">
        <v>1.17E-2</v>
      </c>
      <c r="AG34">
        <v>75</v>
      </c>
      <c r="AH34" s="481"/>
      <c r="AI34" s="481">
        <v>1</v>
      </c>
      <c r="AJ34">
        <f t="shared" si="11"/>
        <v>0.87750000000000006</v>
      </c>
      <c r="AK34" s="431">
        <f t="shared" si="12"/>
        <v>1.17E-2</v>
      </c>
      <c r="AL34" s="483"/>
      <c r="AM34" s="427">
        <f t="shared" si="9"/>
        <v>968171.689212</v>
      </c>
      <c r="AN34" s="112">
        <f t="shared" si="10"/>
        <v>1.2476270441292035E-2</v>
      </c>
      <c r="AO34" s="431">
        <f t="shared" si="13"/>
        <v>1.2476270441292035E-2</v>
      </c>
      <c r="AP34" s="428">
        <f t="shared" si="14"/>
        <v>2.410853792760637E-2</v>
      </c>
      <c r="AX34">
        <v>32</v>
      </c>
    </row>
    <row r="35" spans="3:50" x14ac:dyDescent="0.2">
      <c r="C35">
        <v>28</v>
      </c>
      <c r="D35" s="662">
        <v>2</v>
      </c>
      <c r="E35" s="662">
        <v>1928</v>
      </c>
      <c r="F35" s="486">
        <f t="shared" si="0"/>
        <v>3.15059861373661E-4</v>
      </c>
      <c r="G35" s="486">
        <f t="shared" si="1"/>
        <v>3.1104199066874026E-4</v>
      </c>
      <c r="J35">
        <v>1942</v>
      </c>
      <c r="K35" s="361">
        <f t="shared" si="5"/>
        <v>176</v>
      </c>
      <c r="L35" s="742">
        <f t="shared" si="6"/>
        <v>2.7725267800882167E-2</v>
      </c>
      <c r="M35" s="544">
        <f t="shared" si="2"/>
        <v>43</v>
      </c>
      <c r="N35" s="426">
        <f t="shared" si="3"/>
        <v>103.67123287671232</v>
      </c>
      <c r="O35" s="112">
        <f t="shared" si="4"/>
        <v>2.3428309620218683E-2</v>
      </c>
      <c r="P35" s="112">
        <f t="shared" si="15"/>
        <v>1.2264922322158627E-2</v>
      </c>
      <c r="Q35" s="431">
        <f t="shared" si="16"/>
        <v>-1.1893437497313721E-2</v>
      </c>
      <c r="AE35" s="432">
        <f t="shared" si="8"/>
        <v>37237372.662</v>
      </c>
      <c r="AF35" s="112">
        <v>6.0000000000000001E-3</v>
      </c>
      <c r="AG35">
        <v>100</v>
      </c>
      <c r="AH35" s="481">
        <v>1</v>
      </c>
      <c r="AI35" s="481"/>
      <c r="AL35" s="483"/>
      <c r="AM35" s="427">
        <f t="shared" si="9"/>
        <v>372373.72662000003</v>
      </c>
      <c r="AN35" s="112">
        <f t="shared" si="10"/>
        <v>4.7985655543430908E-3</v>
      </c>
      <c r="AO35" s="431"/>
      <c r="AX35">
        <v>33</v>
      </c>
    </row>
    <row r="36" spans="3:50" x14ac:dyDescent="0.2">
      <c r="C36">
        <v>22</v>
      </c>
      <c r="D36" s="662">
        <v>2</v>
      </c>
      <c r="E36" s="662">
        <v>1929</v>
      </c>
      <c r="F36" s="486">
        <f t="shared" si="0"/>
        <v>3.15059861373661E-4</v>
      </c>
      <c r="G36" s="486">
        <f t="shared" si="1"/>
        <v>3.1104199066874026E-4</v>
      </c>
      <c r="J36">
        <v>1943</v>
      </c>
      <c r="K36" s="361">
        <f t="shared" si="5"/>
        <v>0</v>
      </c>
      <c r="L36" s="742">
        <f t="shared" si="6"/>
        <v>0</v>
      </c>
      <c r="M36" s="544">
        <f t="shared" si="2"/>
        <v>44</v>
      </c>
      <c r="N36" s="426">
        <f t="shared" si="3"/>
        <v>0</v>
      </c>
      <c r="O36" s="112">
        <f t="shared" si="4"/>
        <v>0</v>
      </c>
      <c r="P36" s="112">
        <f t="shared" si="15"/>
        <v>1.2673753066230581E-2</v>
      </c>
      <c r="Q36" s="431">
        <f t="shared" si="16"/>
        <v>-6.0520360633701479E-3</v>
      </c>
      <c r="AF36" s="112"/>
      <c r="AH36" s="481"/>
      <c r="AI36" s="481"/>
      <c r="AX36">
        <v>34</v>
      </c>
    </row>
    <row r="37" spans="3:50" x14ac:dyDescent="0.2">
      <c r="C37">
        <v>40</v>
      </c>
      <c r="D37" s="662">
        <v>2</v>
      </c>
      <c r="E37" s="662">
        <v>1929</v>
      </c>
      <c r="F37" s="486">
        <f t="shared" si="0"/>
        <v>3.15059861373661E-4</v>
      </c>
      <c r="G37" s="486">
        <f t="shared" si="1"/>
        <v>3.1104199066874026E-4</v>
      </c>
      <c r="J37">
        <v>1944</v>
      </c>
      <c r="K37" s="361">
        <f t="shared" si="5"/>
        <v>0</v>
      </c>
      <c r="L37" s="742">
        <f t="shared" si="6"/>
        <v>0</v>
      </c>
      <c r="M37" s="544">
        <f t="shared" si="2"/>
        <v>45</v>
      </c>
      <c r="N37" s="426">
        <f t="shared" si="3"/>
        <v>0</v>
      </c>
      <c r="O37" s="112">
        <f t="shared" si="4"/>
        <v>0</v>
      </c>
      <c r="P37" s="112">
        <f t="shared" si="15"/>
        <v>1.3082583810302535E-2</v>
      </c>
      <c r="Q37" s="431">
        <f t="shared" si="16"/>
        <v>-3.5725722942729649E-3</v>
      </c>
      <c r="AF37" s="112"/>
      <c r="AH37" s="481"/>
      <c r="AI37" s="481"/>
      <c r="AP37">
        <f>SUMPRODUCT(AP20:AP35,AG20:AG35)</f>
        <v>54.476023201802853</v>
      </c>
      <c r="AX37">
        <v>35</v>
      </c>
    </row>
    <row r="38" spans="3:50" x14ac:dyDescent="0.2">
      <c r="C38">
        <v>47</v>
      </c>
      <c r="D38" s="662">
        <v>69</v>
      </c>
      <c r="E38" s="662">
        <v>1930</v>
      </c>
      <c r="F38" s="486">
        <f t="shared" si="0"/>
        <v>1.0869565217391304E-2</v>
      </c>
      <c r="G38" s="486">
        <f t="shared" si="1"/>
        <v>1.073094867807154E-2</v>
      </c>
      <c r="J38">
        <v>1945</v>
      </c>
      <c r="K38" s="361">
        <f t="shared" si="5"/>
        <v>0</v>
      </c>
      <c r="L38" s="742">
        <f t="shared" si="6"/>
        <v>0</v>
      </c>
      <c r="M38" s="544">
        <f t="shared" si="2"/>
        <v>46</v>
      </c>
      <c r="N38" s="426">
        <f t="shared" si="3"/>
        <v>0</v>
      </c>
      <c r="O38" s="112">
        <f t="shared" si="4"/>
        <v>0</v>
      </c>
      <c r="P38" s="112">
        <f t="shared" si="15"/>
        <v>1.3491414554374489E-2</v>
      </c>
      <c r="Q38" s="431">
        <f t="shared" si="16"/>
        <v>-1.3491414554374489E-2</v>
      </c>
      <c r="AH38" s="481"/>
      <c r="AI38" s="481"/>
      <c r="AX38">
        <v>36</v>
      </c>
    </row>
    <row r="39" spans="3:50" x14ac:dyDescent="0.2">
      <c r="C39">
        <v>12</v>
      </c>
      <c r="D39" s="662">
        <v>96</v>
      </c>
      <c r="E39" s="662">
        <v>1931</v>
      </c>
      <c r="F39" s="486">
        <f t="shared" si="0"/>
        <v>1.5122873345935728E-2</v>
      </c>
      <c r="G39" s="486">
        <f t="shared" si="1"/>
        <v>1.4930015552099534E-2</v>
      </c>
      <c r="J39">
        <v>1946</v>
      </c>
      <c r="K39" s="361">
        <f t="shared" si="5"/>
        <v>182</v>
      </c>
      <c r="L39" s="742">
        <f t="shared" si="6"/>
        <v>2.8670447385003149E-2</v>
      </c>
      <c r="M39" s="544">
        <f t="shared" si="2"/>
        <v>47</v>
      </c>
      <c r="N39" s="426">
        <f t="shared" si="3"/>
        <v>117.17808219178082</v>
      </c>
      <c r="O39" s="112">
        <f t="shared" si="4"/>
        <v>2.6480676597694319E-2</v>
      </c>
      <c r="P39" s="112">
        <f t="shared" si="15"/>
        <v>1.3900245298446443E-2</v>
      </c>
      <c r="Q39" s="431">
        <f t="shared" si="16"/>
        <v>2.283341246496726E-2</v>
      </c>
      <c r="AH39" s="481"/>
      <c r="AI39" s="481"/>
      <c r="AX39">
        <v>37</v>
      </c>
    </row>
    <row r="40" spans="3:50" x14ac:dyDescent="0.2">
      <c r="C40">
        <v>41</v>
      </c>
      <c r="D40" s="662">
        <v>349</v>
      </c>
      <c r="E40" s="662">
        <v>1933</v>
      </c>
      <c r="F40" s="486">
        <f t="shared" si="0"/>
        <v>5.4977945809703846E-2</v>
      </c>
      <c r="G40" s="486">
        <f t="shared" si="1"/>
        <v>5.4276827371695181E-2</v>
      </c>
      <c r="J40">
        <v>1947</v>
      </c>
      <c r="K40" s="361">
        <f t="shared" si="5"/>
        <v>0</v>
      </c>
      <c r="L40" s="742">
        <f t="shared" si="6"/>
        <v>0</v>
      </c>
      <c r="M40" s="544">
        <f t="shared" si="2"/>
        <v>48</v>
      </c>
      <c r="N40" s="426">
        <f t="shared" si="3"/>
        <v>0</v>
      </c>
      <c r="O40" s="112">
        <f t="shared" si="4"/>
        <v>0</v>
      </c>
      <c r="P40" s="112">
        <f t="shared" si="15"/>
        <v>1.4309076042518397E-2</v>
      </c>
      <c r="Q40" s="431">
        <f t="shared" si="16"/>
        <v>-1.4309076042518397E-2</v>
      </c>
      <c r="AX40">
        <v>38</v>
      </c>
    </row>
    <row r="41" spans="3:50" x14ac:dyDescent="0.2">
      <c r="C41">
        <v>33</v>
      </c>
      <c r="D41" s="662">
        <v>8</v>
      </c>
      <c r="E41" s="662">
        <v>1938</v>
      </c>
      <c r="F41" s="486">
        <f t="shared" si="0"/>
        <v>1.260239445494644E-3</v>
      </c>
      <c r="G41" s="486">
        <f t="shared" si="1"/>
        <v>1.244167962674961E-3</v>
      </c>
      <c r="J41">
        <v>1948</v>
      </c>
      <c r="K41" s="361">
        <f t="shared" si="5"/>
        <v>191</v>
      </c>
      <c r="L41" s="742">
        <f t="shared" si="6"/>
        <v>3.0088216761184627E-2</v>
      </c>
      <c r="M41" s="544">
        <f t="shared" si="2"/>
        <v>49</v>
      </c>
      <c r="N41" s="426">
        <f t="shared" si="3"/>
        <v>128.20547945205479</v>
      </c>
      <c r="O41" s="112">
        <f t="shared" si="4"/>
        <v>2.8972720631028893E-2</v>
      </c>
      <c r="P41" s="112">
        <f t="shared" si="15"/>
        <v>1.4717906786590351E-2</v>
      </c>
      <c r="Q41" s="431">
        <f t="shared" si="16"/>
        <v>-1.4717906786590351E-2</v>
      </c>
      <c r="AX41">
        <v>39</v>
      </c>
    </row>
    <row r="42" spans="3:50" x14ac:dyDescent="0.2">
      <c r="C42">
        <v>18</v>
      </c>
      <c r="D42" s="662">
        <v>8</v>
      </c>
      <c r="E42" s="662">
        <v>1941</v>
      </c>
      <c r="F42" s="486">
        <f t="shared" si="0"/>
        <v>1.260239445494644E-3</v>
      </c>
      <c r="G42" s="486">
        <f t="shared" si="1"/>
        <v>1.244167962674961E-3</v>
      </c>
      <c r="J42">
        <v>1949</v>
      </c>
      <c r="K42" s="361">
        <f t="shared" si="5"/>
        <v>0</v>
      </c>
      <c r="L42" s="742">
        <f t="shared" si="6"/>
        <v>0</v>
      </c>
      <c r="M42" s="544">
        <f t="shared" si="2"/>
        <v>50</v>
      </c>
      <c r="N42" s="426">
        <f t="shared" si="3"/>
        <v>0</v>
      </c>
      <c r="O42" s="112">
        <f t="shared" si="4"/>
        <v>0</v>
      </c>
      <c r="P42" s="112">
        <f t="shared" si="15"/>
        <v>1.5126737530662305E-2</v>
      </c>
      <c r="Q42" s="431">
        <f t="shared" si="16"/>
        <v>-1.5126737530662305E-2</v>
      </c>
      <c r="AX42">
        <v>40</v>
      </c>
    </row>
    <row r="43" spans="3:50" x14ac:dyDescent="0.2">
      <c r="C43">
        <v>8</v>
      </c>
      <c r="D43" s="662">
        <v>176</v>
      </c>
      <c r="E43" s="662">
        <v>1942</v>
      </c>
      <c r="F43" s="486">
        <f t="shared" si="0"/>
        <v>2.7725267800882167E-2</v>
      </c>
      <c r="G43" s="486">
        <f t="shared" si="1"/>
        <v>2.7371695178849145E-2</v>
      </c>
      <c r="J43">
        <v>1950</v>
      </c>
      <c r="K43" s="361">
        <f t="shared" si="5"/>
        <v>718</v>
      </c>
      <c r="L43" s="742">
        <f t="shared" si="6"/>
        <v>0.1131064902331443</v>
      </c>
      <c r="M43" s="544">
        <f t="shared" si="2"/>
        <v>51</v>
      </c>
      <c r="N43" s="426">
        <f t="shared" si="3"/>
        <v>501.61643835616439</v>
      </c>
      <c r="O43" s="112">
        <f t="shared" si="4"/>
        <v>0.11335859430142281</v>
      </c>
      <c r="P43" s="112">
        <f t="shared" si="15"/>
        <v>1.5535568274734259E-2</v>
      </c>
      <c r="Q43" s="431">
        <f t="shared" si="16"/>
        <v>-1.5535568274734259E-2</v>
      </c>
      <c r="AX43">
        <v>41</v>
      </c>
    </row>
    <row r="44" spans="3:50" x14ac:dyDescent="0.2">
      <c r="C44">
        <v>11</v>
      </c>
      <c r="D44" s="662">
        <v>182</v>
      </c>
      <c r="E44" s="662">
        <v>1946</v>
      </c>
      <c r="F44" s="486">
        <f t="shared" si="0"/>
        <v>2.8670447385003149E-2</v>
      </c>
      <c r="G44" s="486">
        <f t="shared" si="1"/>
        <v>2.8304821150855364E-2</v>
      </c>
      <c r="J44">
        <v>1951</v>
      </c>
      <c r="K44" s="361">
        <f t="shared" si="5"/>
        <v>0</v>
      </c>
      <c r="L44" s="742">
        <f t="shared" si="6"/>
        <v>0</v>
      </c>
      <c r="M44" s="544">
        <f t="shared" si="2"/>
        <v>52</v>
      </c>
      <c r="N44" s="426">
        <f t="shared" si="3"/>
        <v>0</v>
      </c>
      <c r="O44" s="112">
        <f t="shared" si="4"/>
        <v>0</v>
      </c>
      <c r="P44" s="112">
        <f t="shared" si="15"/>
        <v>1.5944399018806215E-2</v>
      </c>
      <c r="Q44" s="431">
        <f t="shared" si="16"/>
        <v>-1.4978538474209461E-2</v>
      </c>
      <c r="AX44">
        <v>42</v>
      </c>
    </row>
    <row r="45" spans="3:50" x14ac:dyDescent="0.2">
      <c r="C45">
        <v>5</v>
      </c>
      <c r="D45" s="662">
        <v>144</v>
      </c>
      <c r="E45" s="662">
        <v>1948</v>
      </c>
      <c r="F45" s="486">
        <f t="shared" si="0"/>
        <v>2.2684310018903593E-2</v>
      </c>
      <c r="G45" s="486">
        <f t="shared" si="1"/>
        <v>2.2395023328149299E-2</v>
      </c>
      <c r="J45">
        <v>1952</v>
      </c>
      <c r="K45" s="361">
        <f t="shared" si="5"/>
        <v>243</v>
      </c>
      <c r="L45" s="742">
        <f t="shared" si="6"/>
        <v>3.8279773156899809E-2</v>
      </c>
      <c r="M45" s="544">
        <f t="shared" si="2"/>
        <v>53</v>
      </c>
      <c r="N45" s="426">
        <f t="shared" si="3"/>
        <v>176.42465753424656</v>
      </c>
      <c r="O45" s="112">
        <f t="shared" si="4"/>
        <v>3.9869608826479441E-2</v>
      </c>
      <c r="P45" s="112">
        <f t="shared" si="15"/>
        <v>1.6353229762878167E-2</v>
      </c>
      <c r="Q45" s="431">
        <f t="shared" si="16"/>
        <v>-1.6353229762878167E-2</v>
      </c>
      <c r="AX45">
        <v>43</v>
      </c>
    </row>
    <row r="46" spans="3:50" x14ac:dyDescent="0.2">
      <c r="C46">
        <v>46</v>
      </c>
      <c r="D46" s="662">
        <v>47</v>
      </c>
      <c r="E46" s="662">
        <v>1948</v>
      </c>
      <c r="F46" s="486">
        <f t="shared" si="0"/>
        <v>7.4039067422810335E-3</v>
      </c>
      <c r="G46" s="486">
        <f t="shared" si="1"/>
        <v>7.3094867807153964E-3</v>
      </c>
      <c r="J46">
        <v>1953</v>
      </c>
      <c r="K46" s="361">
        <f t="shared" si="5"/>
        <v>0</v>
      </c>
      <c r="L46" s="742">
        <f t="shared" si="6"/>
        <v>0</v>
      </c>
      <c r="M46" s="544">
        <f t="shared" si="2"/>
        <v>54</v>
      </c>
      <c r="N46" s="426">
        <f t="shared" si="3"/>
        <v>0</v>
      </c>
      <c r="O46" s="112">
        <f t="shared" si="4"/>
        <v>0</v>
      </c>
      <c r="P46" s="112">
        <f t="shared" si="15"/>
        <v>1.6762060506950123E-2</v>
      </c>
      <c r="Q46" s="431">
        <f t="shared" si="16"/>
        <v>-1.6762060506950123E-2</v>
      </c>
      <c r="AX46">
        <v>44</v>
      </c>
    </row>
    <row r="47" spans="3:50" x14ac:dyDescent="0.2">
      <c r="C47">
        <v>13</v>
      </c>
      <c r="D47" s="662">
        <v>144</v>
      </c>
      <c r="E47" s="662">
        <v>1950</v>
      </c>
      <c r="F47" s="486">
        <f>D47/SUM($D$8:$D$60)</f>
        <v>2.2684310018903593E-2</v>
      </c>
      <c r="G47" s="486">
        <f t="shared" si="1"/>
        <v>2.2395023328149299E-2</v>
      </c>
      <c r="J47">
        <v>1954</v>
      </c>
      <c r="K47" s="361">
        <f t="shared" si="5"/>
        <v>1499</v>
      </c>
      <c r="L47" s="742">
        <f t="shared" si="6"/>
        <v>0.2361373660995589</v>
      </c>
      <c r="M47" s="544">
        <f t="shared" si="2"/>
        <v>55</v>
      </c>
      <c r="N47" s="426">
        <f t="shared" si="3"/>
        <v>1129.3835616438357</v>
      </c>
      <c r="O47" s="112">
        <f t="shared" si="4"/>
        <v>0.25522555320281837</v>
      </c>
      <c r="P47" s="112">
        <f t="shared" si="15"/>
        <v>1.7170891251022075E-2</v>
      </c>
      <c r="Q47" s="431">
        <f t="shared" si="16"/>
        <v>-1.6130733741456342E-2</v>
      </c>
      <c r="AX47">
        <v>45</v>
      </c>
    </row>
    <row r="48" spans="3:50" x14ac:dyDescent="0.2">
      <c r="C48">
        <v>14</v>
      </c>
      <c r="D48" s="662">
        <v>429</v>
      </c>
      <c r="E48" s="662">
        <v>1950</v>
      </c>
      <c r="F48" s="486">
        <f t="shared" si="0"/>
        <v>6.758034026465029E-2</v>
      </c>
      <c r="G48" s="486">
        <f t="shared" si="1"/>
        <v>6.6718506998444796E-2</v>
      </c>
      <c r="J48">
        <v>1955</v>
      </c>
      <c r="K48" s="361">
        <f t="shared" si="5"/>
        <v>0</v>
      </c>
      <c r="L48" s="742">
        <f t="shared" si="6"/>
        <v>0</v>
      </c>
      <c r="M48" s="544">
        <f t="shared" si="2"/>
        <v>56</v>
      </c>
      <c r="N48" s="426">
        <f t="shared" si="3"/>
        <v>0</v>
      </c>
      <c r="O48" s="112">
        <f t="shared" si="4"/>
        <v>0</v>
      </c>
      <c r="P48" s="112">
        <f t="shared" si="15"/>
        <v>1.7579721995094031E-2</v>
      </c>
      <c r="Q48" s="431">
        <f t="shared" si="16"/>
        <v>5.8485876251246523E-3</v>
      </c>
      <c r="AX48">
        <v>46</v>
      </c>
    </row>
    <row r="49" spans="2:50" x14ac:dyDescent="0.2">
      <c r="C49">
        <v>52</v>
      </c>
      <c r="D49" s="662">
        <v>145</v>
      </c>
      <c r="E49" s="662">
        <v>1950</v>
      </c>
      <c r="F49" s="486">
        <f t="shared" si="0"/>
        <v>2.2841839949590423E-2</v>
      </c>
      <c r="G49" s="486">
        <f>D49/SUM($D$8:$D$61)</f>
        <v>2.2550544323483669E-2</v>
      </c>
      <c r="J49">
        <v>1956</v>
      </c>
      <c r="K49" s="361">
        <f t="shared" si="5"/>
        <v>73</v>
      </c>
      <c r="L49" s="742">
        <f t="shared" si="6"/>
        <v>1.1499684940138626E-2</v>
      </c>
      <c r="M49" s="544">
        <f t="shared" si="2"/>
        <v>57</v>
      </c>
      <c r="N49" s="426">
        <f t="shared" si="3"/>
        <v>57</v>
      </c>
      <c r="O49" s="112">
        <f t="shared" ref="O49:O65" si="17">N49/SUM($N$17:$N$65)</f>
        <v>1.2881236301497085E-2</v>
      </c>
      <c r="P49" s="112">
        <f t="shared" si="15"/>
        <v>1.7988552739165987E-2</v>
      </c>
      <c r="Q49" s="431">
        <f t="shared" si="16"/>
        <v>-1.7988552739165987E-2</v>
      </c>
      <c r="AX49">
        <v>47</v>
      </c>
    </row>
    <row r="50" spans="2:50" x14ac:dyDescent="0.2">
      <c r="C50">
        <v>15</v>
      </c>
      <c r="D50" s="662">
        <v>243</v>
      </c>
      <c r="E50" s="662">
        <v>1952</v>
      </c>
      <c r="F50" s="486">
        <f t="shared" si="0"/>
        <v>3.8279773156899809E-2</v>
      </c>
      <c r="G50" s="486">
        <f t="shared" si="1"/>
        <v>3.7791601866251946E-2</v>
      </c>
      <c r="J50">
        <v>1957</v>
      </c>
      <c r="K50" s="361">
        <f t="shared" si="5"/>
        <v>174</v>
      </c>
      <c r="L50" s="742">
        <f t="shared" si="6"/>
        <v>2.7410207939508508E-2</v>
      </c>
      <c r="M50" s="544">
        <f t="shared" si="2"/>
        <v>58</v>
      </c>
      <c r="N50" s="426">
        <f t="shared" si="3"/>
        <v>138.24657534246575</v>
      </c>
      <c r="O50" s="112">
        <f t="shared" si="17"/>
        <v>3.1241873769456519E-2</v>
      </c>
      <c r="P50" s="112">
        <f t="shared" si="15"/>
        <v>1.8397383483237939E-2</v>
      </c>
      <c r="Q50" s="431">
        <f t="shared" si="16"/>
        <v>-1.8397383483237939E-2</v>
      </c>
      <c r="AX50">
        <v>48</v>
      </c>
    </row>
    <row r="51" spans="2:50" x14ac:dyDescent="0.2">
      <c r="C51">
        <v>2</v>
      </c>
      <c r="D51" s="662">
        <v>1499</v>
      </c>
      <c r="E51" s="662">
        <v>1954</v>
      </c>
      <c r="F51" s="486">
        <f t="shared" si="0"/>
        <v>0.2361373660995589</v>
      </c>
      <c r="G51" s="486">
        <f t="shared" si="1"/>
        <v>0.23312597200622084</v>
      </c>
      <c r="J51">
        <v>1958</v>
      </c>
      <c r="K51" s="361">
        <f t="shared" si="5"/>
        <v>1204</v>
      </c>
      <c r="L51" s="742">
        <f t="shared" si="6"/>
        <v>0.18966603654694392</v>
      </c>
      <c r="M51" s="544">
        <f t="shared" si="2"/>
        <v>59</v>
      </c>
      <c r="N51" s="426">
        <f t="shared" si="3"/>
        <v>973.09589041095887</v>
      </c>
      <c r="O51" s="112">
        <f t="shared" si="17"/>
        <v>0.21990663348068901</v>
      </c>
      <c r="P51" s="112">
        <f t="shared" si="15"/>
        <v>1.8806214227309895E-2</v>
      </c>
      <c r="Q51" s="431">
        <f t="shared" si="16"/>
        <v>-1.8806214227309895E-2</v>
      </c>
      <c r="AX51">
        <v>49</v>
      </c>
    </row>
    <row r="52" spans="2:50" x14ac:dyDescent="0.2">
      <c r="C52">
        <v>51</v>
      </c>
      <c r="D52" s="662">
        <v>73</v>
      </c>
      <c r="E52" s="662">
        <v>1956</v>
      </c>
      <c r="F52" s="486">
        <f t="shared" si="0"/>
        <v>1.1499684940138626E-2</v>
      </c>
      <c r="G52" s="486">
        <f t="shared" si="1"/>
        <v>1.1353032659409019E-2</v>
      </c>
      <c r="J52">
        <v>1959</v>
      </c>
      <c r="K52" s="361">
        <f t="shared" si="5"/>
        <v>48</v>
      </c>
      <c r="L52" s="742">
        <f t="shared" si="6"/>
        <v>7.5614366729678641E-3</v>
      </c>
      <c r="M52" s="544">
        <f t="shared" si="2"/>
        <v>60</v>
      </c>
      <c r="N52" s="426">
        <f t="shared" si="3"/>
        <v>39.452054794520549</v>
      </c>
      <c r="O52" s="112">
        <f t="shared" si="17"/>
        <v>8.9156357962777242E-3</v>
      </c>
      <c r="P52" s="112">
        <f t="shared" si="15"/>
        <v>1.9215044971381847E-2</v>
      </c>
      <c r="Q52" s="431">
        <f t="shared" si="16"/>
        <v>7.2656316263124722E-3</v>
      </c>
      <c r="AX52">
        <f>SUM(AX3:AX51)</f>
        <v>1225</v>
      </c>
    </row>
    <row r="53" spans="2:50" x14ac:dyDescent="0.2">
      <c r="C53">
        <v>3</v>
      </c>
      <c r="D53" s="662">
        <v>174</v>
      </c>
      <c r="E53" s="662">
        <v>1957</v>
      </c>
      <c r="F53" s="486">
        <f t="shared" si="0"/>
        <v>2.7410207939508508E-2</v>
      </c>
      <c r="G53" s="486">
        <f t="shared" si="1"/>
        <v>2.7060653188180406E-2</v>
      </c>
      <c r="J53">
        <v>1960</v>
      </c>
      <c r="K53" s="361">
        <f t="shared" si="5"/>
        <v>0</v>
      </c>
      <c r="L53" s="742">
        <f t="shared" si="6"/>
        <v>0</v>
      </c>
      <c r="M53" s="544">
        <f t="shared" si="2"/>
        <v>61</v>
      </c>
      <c r="N53" s="426">
        <f t="shared" si="3"/>
        <v>0</v>
      </c>
      <c r="O53" s="112">
        <f t="shared" si="17"/>
        <v>0</v>
      </c>
      <c r="P53" s="112">
        <f t="shared" si="15"/>
        <v>1.9623875715453803E-2</v>
      </c>
      <c r="Q53" s="431">
        <f t="shared" si="16"/>
        <v>-1.9623875715453803E-2</v>
      </c>
    </row>
    <row r="54" spans="2:50" x14ac:dyDescent="0.2">
      <c r="C54">
        <v>6</v>
      </c>
      <c r="D54" s="662">
        <v>1045</v>
      </c>
      <c r="E54" s="662">
        <v>1958</v>
      </c>
      <c r="F54" s="486">
        <f t="shared" si="0"/>
        <v>0.16461877756773788</v>
      </c>
      <c r="G54" s="486">
        <f t="shared" si="1"/>
        <v>0.1625194401244168</v>
      </c>
      <c r="J54">
        <v>1961</v>
      </c>
      <c r="K54" s="361">
        <f t="shared" si="5"/>
        <v>182</v>
      </c>
      <c r="L54" s="742">
        <f t="shared" si="6"/>
        <v>2.8670447385003149E-2</v>
      </c>
      <c r="M54" s="544">
        <f t="shared" si="2"/>
        <v>62</v>
      </c>
      <c r="N54" s="426">
        <f t="shared" si="3"/>
        <v>154.57534246575344</v>
      </c>
      <c r="O54" s="112">
        <f t="shared" si="17"/>
        <v>3.4931956362915913E-2</v>
      </c>
      <c r="P54" s="112">
        <f t="shared" si="15"/>
        <v>2.0032706459525755E-2</v>
      </c>
      <c r="Q54" s="431">
        <f t="shared" si="16"/>
        <v>8.9400141715031377E-3</v>
      </c>
    </row>
    <row r="55" spans="2:50" x14ac:dyDescent="0.2">
      <c r="C55">
        <v>49</v>
      </c>
      <c r="D55" s="662">
        <v>91</v>
      </c>
      <c r="E55" s="662">
        <v>1958</v>
      </c>
      <c r="F55" s="486">
        <f t="shared" si="0"/>
        <v>1.4335223692501575E-2</v>
      </c>
      <c r="G55" s="486">
        <f t="shared" si="1"/>
        <v>1.4152410575427682E-2</v>
      </c>
      <c r="J55">
        <v>1962</v>
      </c>
      <c r="K55" s="361">
        <f t="shared" si="5"/>
        <v>0</v>
      </c>
      <c r="L55" s="742">
        <f t="shared" si="6"/>
        <v>0</v>
      </c>
      <c r="M55" s="544">
        <f t="shared" si="2"/>
        <v>63</v>
      </c>
      <c r="N55" s="426">
        <f t="shared" si="3"/>
        <v>0</v>
      </c>
      <c r="O55" s="112">
        <f t="shared" si="17"/>
        <v>0</v>
      </c>
      <c r="P55" s="112">
        <f t="shared" si="15"/>
        <v>2.0441537203597711E-2</v>
      </c>
      <c r="Q55" s="431">
        <f t="shared" si="16"/>
        <v>-2.0441537203597711E-2</v>
      </c>
    </row>
    <row r="56" spans="2:50" x14ac:dyDescent="0.2">
      <c r="C56">
        <v>54</v>
      </c>
      <c r="D56" s="662">
        <v>68</v>
      </c>
      <c r="E56" s="662">
        <v>1958</v>
      </c>
      <c r="F56" s="486">
        <f t="shared" si="0"/>
        <v>1.0712035286704474E-2</v>
      </c>
      <c r="G56" s="486">
        <f t="shared" si="1"/>
        <v>1.0575427682737169E-2</v>
      </c>
      <c r="J56">
        <v>1963</v>
      </c>
      <c r="K56" s="361">
        <f t="shared" si="5"/>
        <v>0</v>
      </c>
      <c r="L56" s="742">
        <f t="shared" si="6"/>
        <v>0</v>
      </c>
      <c r="M56" s="544">
        <f t="shared" si="2"/>
        <v>64</v>
      </c>
      <c r="N56" s="426">
        <f t="shared" si="3"/>
        <v>0</v>
      </c>
      <c r="O56" s="112">
        <f t="shared" si="17"/>
        <v>0</v>
      </c>
      <c r="P56" s="112">
        <f t="shared" si="15"/>
        <v>2.0850367947669663E-2</v>
      </c>
      <c r="Q56" s="431">
        <f t="shared" si="16"/>
        <v>9.2508226353753151E-2</v>
      </c>
    </row>
    <row r="57" spans="2:50" x14ac:dyDescent="0.2">
      <c r="C57">
        <v>53</v>
      </c>
      <c r="D57" s="662">
        <v>48</v>
      </c>
      <c r="E57" s="662">
        <v>1959</v>
      </c>
      <c r="F57" s="486">
        <f t="shared" si="0"/>
        <v>7.5614366729678641E-3</v>
      </c>
      <c r="G57" s="486">
        <f t="shared" si="1"/>
        <v>7.465007776049767E-3</v>
      </c>
      <c r="J57">
        <v>1964</v>
      </c>
      <c r="K57" s="361">
        <f t="shared" si="5"/>
        <v>0</v>
      </c>
      <c r="L57" s="742">
        <f t="shared" si="6"/>
        <v>0</v>
      </c>
      <c r="M57" s="544">
        <f t="shared" si="2"/>
        <v>65</v>
      </c>
      <c r="N57" s="426">
        <f t="shared" si="3"/>
        <v>0</v>
      </c>
      <c r="O57" s="112">
        <f t="shared" si="17"/>
        <v>0</v>
      </c>
      <c r="P57" s="112">
        <f t="shared" si="15"/>
        <v>2.1259198691741619E-2</v>
      </c>
      <c r="Q57" s="431">
        <f t="shared" si="16"/>
        <v>-2.1259198691741619E-2</v>
      </c>
    </row>
    <row r="58" spans="2:50" x14ac:dyDescent="0.2">
      <c r="C58">
        <v>42</v>
      </c>
      <c r="D58" s="662">
        <v>182</v>
      </c>
      <c r="E58" s="662">
        <v>1961</v>
      </c>
      <c r="F58" s="486">
        <f t="shared" si="0"/>
        <v>2.8670447385003149E-2</v>
      </c>
      <c r="G58" s="486">
        <f t="shared" si="1"/>
        <v>2.8304821150855364E-2</v>
      </c>
      <c r="J58">
        <v>1965</v>
      </c>
      <c r="K58" s="361">
        <f t="shared" si="5"/>
        <v>0</v>
      </c>
      <c r="L58" s="742">
        <f t="shared" si="6"/>
        <v>0</v>
      </c>
      <c r="M58" s="544">
        <f t="shared" si="2"/>
        <v>66</v>
      </c>
      <c r="N58" s="426">
        <f t="shared" si="3"/>
        <v>0</v>
      </c>
      <c r="O58" s="112">
        <f t="shared" si="17"/>
        <v>0</v>
      </c>
      <c r="P58" s="112">
        <f t="shared" si="15"/>
        <v>2.1668029435813575E-2</v>
      </c>
      <c r="Q58" s="431">
        <f t="shared" si="16"/>
        <v>1.8201579390665867E-2</v>
      </c>
    </row>
    <row r="59" spans="2:50" x14ac:dyDescent="0.2">
      <c r="C59">
        <v>10</v>
      </c>
      <c r="D59" s="662">
        <v>170</v>
      </c>
      <c r="E59" s="662">
        <v>1967</v>
      </c>
      <c r="F59" s="486">
        <f t="shared" si="0"/>
        <v>2.6780088216761186E-2</v>
      </c>
      <c r="G59" s="486">
        <f t="shared" si="1"/>
        <v>2.6438569206842923E-2</v>
      </c>
      <c r="J59">
        <v>1966</v>
      </c>
      <c r="K59" s="361">
        <f t="shared" si="5"/>
        <v>0</v>
      </c>
      <c r="L59" s="742">
        <f t="shared" si="6"/>
        <v>0</v>
      </c>
      <c r="M59" s="544">
        <f t="shared" si="2"/>
        <v>67</v>
      </c>
      <c r="N59" s="426">
        <f t="shared" si="3"/>
        <v>0</v>
      </c>
      <c r="O59" s="112">
        <f t="shared" si="17"/>
        <v>0</v>
      </c>
      <c r="P59" s="112">
        <f t="shared" si="15"/>
        <v>2.2076860179885527E-2</v>
      </c>
      <c r="Q59" s="431">
        <f t="shared" si="16"/>
        <v>-2.2076860179885527E-2</v>
      </c>
    </row>
    <row r="60" spans="2:50" ht="13.5" thickBot="1" x14ac:dyDescent="0.25">
      <c r="B60" s="693" t="s">
        <v>845</v>
      </c>
      <c r="C60" s="694">
        <v>43</v>
      </c>
      <c r="D60" s="695">
        <v>274</v>
      </c>
      <c r="E60" s="695">
        <v>1971</v>
      </c>
      <c r="F60" s="696">
        <f t="shared" si="0"/>
        <v>4.3163201008191557E-2</v>
      </c>
      <c r="G60" s="696">
        <f t="shared" si="1"/>
        <v>4.2612752721617415E-2</v>
      </c>
      <c r="J60">
        <v>1967</v>
      </c>
      <c r="K60" s="361">
        <f t="shared" si="5"/>
        <v>170</v>
      </c>
      <c r="L60" s="742">
        <f t="shared" si="6"/>
        <v>2.6780088216761186E-2</v>
      </c>
      <c r="M60" s="544">
        <f t="shared" si="2"/>
        <v>68</v>
      </c>
      <c r="N60" s="426">
        <f t="shared" si="3"/>
        <v>158.35616438356163</v>
      </c>
      <c r="O60" s="112">
        <f t="shared" si="17"/>
        <v>3.578637146005919E-2</v>
      </c>
      <c r="P60" s="112">
        <f t="shared" si="15"/>
        <v>2.2485690923957483E-2</v>
      </c>
      <c r="Q60" s="431">
        <f t="shared" si="16"/>
        <v>0.2327398622788609</v>
      </c>
    </row>
    <row r="61" spans="2:50" ht="13.5" thickTop="1" x14ac:dyDescent="0.2">
      <c r="B61" s="18" t="s">
        <v>844</v>
      </c>
      <c r="C61" s="449">
        <v>7</v>
      </c>
      <c r="D61" s="350">
        <v>82</v>
      </c>
      <c r="E61" s="350">
        <v>1976</v>
      </c>
      <c r="F61" s="350"/>
      <c r="G61" s="697">
        <f t="shared" si="1"/>
        <v>1.2752721617418351E-2</v>
      </c>
      <c r="J61">
        <v>1968</v>
      </c>
      <c r="K61" s="361">
        <f t="shared" si="5"/>
        <v>0</v>
      </c>
      <c r="L61" s="742">
        <f t="shared" si="6"/>
        <v>0</v>
      </c>
      <c r="M61" s="544">
        <f t="shared" si="2"/>
        <v>69</v>
      </c>
      <c r="N61" s="426">
        <f t="shared" si="3"/>
        <v>0</v>
      </c>
      <c r="O61" s="112">
        <f t="shared" si="17"/>
        <v>0</v>
      </c>
      <c r="P61" s="112">
        <f t="shared" si="15"/>
        <v>2.2894521668029435E-2</v>
      </c>
      <c r="Q61" s="431">
        <f t="shared" si="16"/>
        <v>-2.2894521668029435E-2</v>
      </c>
    </row>
    <row r="62" spans="2:50" x14ac:dyDescent="0.2">
      <c r="D62" s="662"/>
      <c r="E62" s="662"/>
      <c r="J62">
        <v>1969</v>
      </c>
      <c r="K62" s="361">
        <f t="shared" si="5"/>
        <v>0</v>
      </c>
      <c r="L62" s="742">
        <f t="shared" si="6"/>
        <v>0</v>
      </c>
      <c r="M62" s="544">
        <f t="shared" si="2"/>
        <v>70</v>
      </c>
      <c r="N62" s="426">
        <f t="shared" si="3"/>
        <v>0</v>
      </c>
      <c r="O62" s="112">
        <f t="shared" si="17"/>
        <v>0</v>
      </c>
      <c r="P62" s="112">
        <f t="shared" ref="P62:P78" si="18">M49/(SUM($M$17:$M$65)+SUM($R$18:$R$26))</f>
        <v>2.3303352412101391E-2</v>
      </c>
      <c r="Q62" s="431">
        <f t="shared" ref="Q62:Q78" si="19">O49-P62</f>
        <v>-1.0422116110604306E-2</v>
      </c>
    </row>
    <row r="63" spans="2:50" x14ac:dyDescent="0.2">
      <c r="B63" s="55" t="s">
        <v>857</v>
      </c>
      <c r="C63" s="38"/>
      <c r="D63" s="350"/>
      <c r="E63" s="350"/>
      <c r="F63" s="38"/>
      <c r="J63">
        <v>1970</v>
      </c>
      <c r="K63" s="361">
        <f t="shared" si="5"/>
        <v>0</v>
      </c>
      <c r="L63" s="742">
        <f t="shared" si="6"/>
        <v>0</v>
      </c>
      <c r="M63" s="544">
        <f t="shared" si="2"/>
        <v>71</v>
      </c>
      <c r="N63" s="426">
        <f t="shared" si="3"/>
        <v>0</v>
      </c>
      <c r="O63" s="112">
        <f t="shared" si="17"/>
        <v>0</v>
      </c>
      <c r="P63" s="112">
        <f t="shared" si="18"/>
        <v>2.3712183156173343E-2</v>
      </c>
      <c r="Q63" s="431">
        <f t="shared" si="19"/>
        <v>7.5296906132831763E-3</v>
      </c>
    </row>
    <row r="64" spans="2:50" x14ac:dyDescent="0.2">
      <c r="B64" s="38"/>
      <c r="C64" s="38"/>
      <c r="D64" s="350"/>
      <c r="E64" s="350"/>
      <c r="F64" s="38"/>
      <c r="J64">
        <v>1971</v>
      </c>
      <c r="K64" s="361">
        <f t="shared" si="5"/>
        <v>274</v>
      </c>
      <c r="L64" s="742">
        <f t="shared" si="6"/>
        <v>4.3163201008191557E-2</v>
      </c>
      <c r="M64" s="544">
        <f t="shared" si="2"/>
        <v>72</v>
      </c>
      <c r="N64" s="426">
        <f t="shared" si="3"/>
        <v>270.24657534246575</v>
      </c>
      <c r="O64" s="112">
        <f t="shared" si="17"/>
        <v>6.1072105204502403E-2</v>
      </c>
      <c r="P64" s="112">
        <f t="shared" si="18"/>
        <v>2.4121013900245299E-2</v>
      </c>
      <c r="Q64" s="431">
        <f t="shared" si="19"/>
        <v>0.19578561958044371</v>
      </c>
    </row>
    <row r="65" spans="2:28" x14ac:dyDescent="0.2">
      <c r="B65" s="461"/>
      <c r="C65" s="461"/>
      <c r="D65" s="529"/>
      <c r="E65" s="529"/>
      <c r="F65" s="461"/>
      <c r="G65" s="33"/>
      <c r="J65">
        <v>1972</v>
      </c>
      <c r="K65" s="361">
        <f t="shared" si="5"/>
        <v>0</v>
      </c>
      <c r="L65" s="742">
        <f t="shared" si="6"/>
        <v>0</v>
      </c>
      <c r="M65" s="544">
        <f>73-(1972-J65)</f>
        <v>73</v>
      </c>
      <c r="N65" s="426">
        <f t="shared" si="3"/>
        <v>0</v>
      </c>
      <c r="O65" s="112">
        <f t="shared" si="17"/>
        <v>0</v>
      </c>
      <c r="P65" s="112">
        <f t="shared" si="18"/>
        <v>2.4529844644317254E-2</v>
      </c>
      <c r="Q65" s="431">
        <f t="shared" si="19"/>
        <v>-1.561420884803953E-2</v>
      </c>
    </row>
    <row r="66" spans="2:28" ht="13.5" thickBot="1" x14ac:dyDescent="0.25">
      <c r="D66" s="662"/>
      <c r="E66" s="662"/>
      <c r="P66" s="112">
        <f t="shared" si="18"/>
        <v>2.4938675388389207E-2</v>
      </c>
      <c r="Q66" s="431">
        <f t="shared" si="19"/>
        <v>-2.4938675388389207E-2</v>
      </c>
    </row>
    <row r="67" spans="2:28" x14ac:dyDescent="0.2">
      <c r="D67" s="662"/>
      <c r="E67" s="662"/>
      <c r="G67" s="162" t="s">
        <v>645</v>
      </c>
      <c r="H67" s="499"/>
      <c r="I67" s="500">
        <f>SUMPRODUCT(G8:G61,E8:E61)</f>
        <v>1949.7303265940902</v>
      </c>
      <c r="K67" s="431"/>
      <c r="L67" s="743"/>
      <c r="O67" s="431">
        <f>SUM(O17:O65)</f>
        <v>1</v>
      </c>
      <c r="P67" s="112">
        <f t="shared" si="18"/>
        <v>2.5347506132461162E-2</v>
      </c>
      <c r="Q67" s="431">
        <f t="shared" si="19"/>
        <v>9.5844502304547503E-3</v>
      </c>
    </row>
    <row r="68" spans="2:28" x14ac:dyDescent="0.2">
      <c r="D68" s="662"/>
      <c r="E68" s="662"/>
      <c r="G68" s="164" t="s">
        <v>713</v>
      </c>
      <c r="H68" s="33"/>
      <c r="I68" s="168"/>
      <c r="P68" s="112">
        <f t="shared" si="18"/>
        <v>2.5756336876533115E-2</v>
      </c>
      <c r="Q68" s="431">
        <f t="shared" si="19"/>
        <v>-2.5756336876533115E-2</v>
      </c>
    </row>
    <row r="69" spans="2:28" x14ac:dyDescent="0.2">
      <c r="G69" s="501"/>
      <c r="H69" s="33"/>
      <c r="I69" s="168"/>
      <c r="P69" s="112">
        <f t="shared" si="18"/>
        <v>2.616516762060507E-2</v>
      </c>
      <c r="Q69" s="431">
        <f t="shared" si="19"/>
        <v>-2.616516762060507E-2</v>
      </c>
    </row>
    <row r="70" spans="2:28" x14ac:dyDescent="0.2">
      <c r="G70" s="164" t="s">
        <v>706</v>
      </c>
      <c r="H70" s="33"/>
      <c r="I70" s="502">
        <f>I73-I67</f>
        <v>22.269673405909771</v>
      </c>
      <c r="P70" s="112">
        <f t="shared" si="18"/>
        <v>2.6573998364677023E-2</v>
      </c>
      <c r="Q70" s="431">
        <f t="shared" si="19"/>
        <v>-2.6573998364677023E-2</v>
      </c>
    </row>
    <row r="71" spans="2:28" x14ac:dyDescent="0.2">
      <c r="G71" s="501"/>
      <c r="H71" s="33"/>
      <c r="I71" s="502"/>
      <c r="P71" s="112">
        <f t="shared" si="18"/>
        <v>2.6982829108748978E-2</v>
      </c>
      <c r="Q71" s="431">
        <f t="shared" si="19"/>
        <v>-2.6982829108748978E-2</v>
      </c>
    </row>
    <row r="72" spans="2:28" x14ac:dyDescent="0.2">
      <c r="G72" s="164" t="s">
        <v>707</v>
      </c>
      <c r="H72" s="47" t="s">
        <v>709</v>
      </c>
      <c r="I72" s="503">
        <f>I67-I70</f>
        <v>1927.4606531881805</v>
      </c>
      <c r="P72" s="112">
        <f t="shared" si="18"/>
        <v>2.7391659852820931E-2</v>
      </c>
      <c r="Q72" s="431">
        <f t="shared" si="19"/>
        <v>-2.7391659852820931E-2</v>
      </c>
    </row>
    <row r="73" spans="2:28" x14ac:dyDescent="0.2">
      <c r="G73" s="164" t="s">
        <v>708</v>
      </c>
      <c r="H73" s="47" t="s">
        <v>711</v>
      </c>
      <c r="I73" s="168">
        <v>1972</v>
      </c>
      <c r="P73" s="112">
        <f t="shared" si="18"/>
        <v>2.7800490596892886E-2</v>
      </c>
      <c r="Q73" s="431">
        <f t="shared" si="19"/>
        <v>7.9858808631663031E-3</v>
      </c>
    </row>
    <row r="74" spans="2:28" x14ac:dyDescent="0.2">
      <c r="G74" s="501"/>
      <c r="H74" s="47" t="s">
        <v>712</v>
      </c>
      <c r="I74" s="504">
        <f>I70*2</f>
        <v>44.539346811819541</v>
      </c>
      <c r="P74" s="112">
        <f t="shared" si="18"/>
        <v>2.8209321340964842E-2</v>
      </c>
      <c r="Q74" s="431">
        <f t="shared" si="19"/>
        <v>-2.8209321340964842E-2</v>
      </c>
    </row>
    <row r="75" spans="2:28" x14ac:dyDescent="0.2">
      <c r="G75" s="501"/>
      <c r="H75" s="33"/>
      <c r="I75" s="168"/>
      <c r="P75" s="112">
        <f t="shared" si="18"/>
        <v>2.8618152085036794E-2</v>
      </c>
      <c r="Q75" s="431">
        <f t="shared" si="19"/>
        <v>-2.8618152085036794E-2</v>
      </c>
    </row>
    <row r="76" spans="2:28" x14ac:dyDescent="0.2">
      <c r="G76" s="164" t="s">
        <v>710</v>
      </c>
      <c r="H76" s="47" t="s">
        <v>709</v>
      </c>
      <c r="I76" s="168">
        <v>1915</v>
      </c>
      <c r="P76" s="112">
        <f t="shared" si="18"/>
        <v>2.902698282910875E-2</v>
      </c>
      <c r="Q76" s="431">
        <f t="shared" si="19"/>
        <v>-2.902698282910875E-2</v>
      </c>
    </row>
    <row r="77" spans="2:28" x14ac:dyDescent="0.2">
      <c r="G77" s="501"/>
      <c r="H77" s="47" t="s">
        <v>711</v>
      </c>
      <c r="I77" s="168">
        <v>1964</v>
      </c>
      <c r="P77" s="112">
        <f t="shared" si="18"/>
        <v>2.9435813573180702E-2</v>
      </c>
      <c r="Q77" s="431">
        <f t="shared" si="19"/>
        <v>3.16362916313217E-2</v>
      </c>
      <c r="S77" s="18" t="s">
        <v>652</v>
      </c>
      <c r="T77" s="18"/>
      <c r="U77" s="18"/>
      <c r="V77" s="18"/>
      <c r="W77" s="18"/>
      <c r="X77" s="18"/>
      <c r="Y77" s="18"/>
      <c r="Z77" s="18"/>
      <c r="AA77" s="18"/>
      <c r="AB77" s="431" t="e">
        <f>SUM(Q18:Q37)</f>
        <v>#REF!</v>
      </c>
    </row>
    <row r="78" spans="2:28" ht="13.5" thickBot="1" x14ac:dyDescent="0.25">
      <c r="G78" s="170"/>
      <c r="H78" s="505" t="s">
        <v>712</v>
      </c>
      <c r="I78" s="506">
        <f>I77-I76</f>
        <v>49</v>
      </c>
      <c r="P78" s="112">
        <f t="shared" si="18"/>
        <v>2.9844644317252658E-2</v>
      </c>
      <c r="Q78" s="431">
        <f t="shared" si="19"/>
        <v>-2.9844644317252658E-2</v>
      </c>
      <c r="S78" s="18" t="s">
        <v>651</v>
      </c>
      <c r="T78" s="18"/>
      <c r="U78" s="18"/>
      <c r="V78" s="18"/>
      <c r="W78" s="18"/>
      <c r="X78" s="18"/>
      <c r="Y78" s="18"/>
      <c r="Z78" s="18"/>
      <c r="AA78" s="18"/>
      <c r="AB78" s="431">
        <f>SUM(Q59:Q78)</f>
        <v>0.14074632060683434</v>
      </c>
    </row>
    <row r="80" spans="2:28" x14ac:dyDescent="0.2">
      <c r="P80" s="431" t="e">
        <f>SUM(P18:P78)+SUM(S18:S26)</f>
        <v>#REF!</v>
      </c>
    </row>
    <row r="81" spans="16:16" x14ac:dyDescent="0.2">
      <c r="P81" s="458"/>
    </row>
  </sheetData>
  <sortState ref="C6:G59">
    <sortCondition ref="E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458"/>
  <sheetViews>
    <sheetView workbookViewId="0">
      <selection activeCell="N9" sqref="N9"/>
    </sheetView>
  </sheetViews>
  <sheetFormatPr defaultColWidth="8.85546875" defaultRowHeight="12.75" x14ac:dyDescent="0.2"/>
  <cols>
    <col min="4" max="4" width="21.7109375" customWidth="1"/>
    <col min="5" max="6" width="14" bestFit="1" customWidth="1"/>
    <col min="7" max="7" width="13.140625" customWidth="1"/>
    <col min="11" max="11" width="14" bestFit="1" customWidth="1"/>
    <col min="12" max="12" width="14" customWidth="1"/>
    <col min="13" max="13" width="14.42578125" customWidth="1"/>
    <col min="14" max="14" width="10.42578125" customWidth="1"/>
  </cols>
  <sheetData>
    <row r="2" spans="3:16" ht="18" x14ac:dyDescent="0.25">
      <c r="C2" s="749" t="s">
        <v>839</v>
      </c>
      <c r="D2" s="749"/>
      <c r="E2" s="749"/>
      <c r="F2" s="749"/>
      <c r="G2" s="749"/>
      <c r="J2" s="757" t="s">
        <v>697</v>
      </c>
      <c r="K2" s="757"/>
      <c r="L2" s="757"/>
      <c r="M2" s="757"/>
      <c r="N2" s="757"/>
      <c r="O2" s="757"/>
      <c r="P2" s="757"/>
    </row>
    <row r="4" spans="3:16" x14ac:dyDescent="0.2">
      <c r="E4" s="756" t="s">
        <v>21</v>
      </c>
      <c r="F4" s="756"/>
      <c r="G4" s="460" t="s">
        <v>650</v>
      </c>
    </row>
    <row r="5" spans="3:16" x14ac:dyDescent="0.2">
      <c r="C5" s="460" t="s">
        <v>668</v>
      </c>
      <c r="D5" s="460" t="s">
        <v>695</v>
      </c>
      <c r="E5" s="460" t="s">
        <v>838</v>
      </c>
      <c r="F5" s="460" t="s">
        <v>694</v>
      </c>
      <c r="K5" s="460" t="s">
        <v>693</v>
      </c>
      <c r="L5" s="460" t="s">
        <v>17</v>
      </c>
      <c r="M5" s="460" t="s">
        <v>694</v>
      </c>
      <c r="N5" s="460" t="s">
        <v>17</v>
      </c>
      <c r="P5" s="460" t="s">
        <v>696</v>
      </c>
    </row>
    <row r="6" spans="3:16" x14ac:dyDescent="0.2">
      <c r="C6">
        <f>TFP_dataset!F19</f>
        <v>2002</v>
      </c>
      <c r="D6" t="str">
        <f>TFP_dataset!D19</f>
        <v>PG&amp;E</v>
      </c>
      <c r="E6" s="427">
        <f>TFP_dataset!R19</f>
        <v>10075261</v>
      </c>
      <c r="F6" s="427">
        <f>TFP_dataset!T19</f>
        <v>10612535</v>
      </c>
      <c r="G6" s="432">
        <f>E6-F6</f>
        <v>-537274</v>
      </c>
      <c r="J6">
        <v>2002</v>
      </c>
      <c r="K6" s="427">
        <f>SUMIF($C$6:$C$174,J6,$E$6:$E$174)</f>
        <v>46870514.593999997</v>
      </c>
      <c r="L6" s="427"/>
      <c r="M6" s="427">
        <f>SUMIF($C$6:$C$174,J6,$F$6:$F$174)</f>
        <v>46365993</v>
      </c>
      <c r="N6" s="112"/>
      <c r="P6" s="429">
        <f>K6/M6</f>
        <v>1.0108812852126341</v>
      </c>
    </row>
    <row r="7" spans="3:16" x14ac:dyDescent="0.2">
      <c r="C7">
        <f>TFP_dataset!F20</f>
        <v>2003</v>
      </c>
      <c r="D7" t="str">
        <f>TFP_dataset!D20</f>
        <v>PG&amp;E</v>
      </c>
      <c r="E7" s="427">
        <f>TFP_dataset!R20</f>
        <v>11506124</v>
      </c>
      <c r="F7" s="427">
        <f>TFP_dataset!T20</f>
        <v>12152297</v>
      </c>
      <c r="G7" s="432">
        <f t="shared" ref="G7:G70" si="0">E7-F7</f>
        <v>-646173</v>
      </c>
      <c r="J7">
        <v>2003</v>
      </c>
      <c r="K7" s="427">
        <f t="shared" ref="K7:K18" si="1">SUMIF($C$6:$C$174,J7,$E$6:$E$174)</f>
        <v>54068696.614</v>
      </c>
      <c r="L7" s="429">
        <f>LN(K7/K6)</f>
        <v>0.14286660652271232</v>
      </c>
      <c r="M7" s="427">
        <f t="shared" ref="M7:M18" si="2">SUMIF($C$6:$C$174,J7,$F$6:$F$174)</f>
        <v>54503795</v>
      </c>
      <c r="N7" s="429">
        <f>LN(M7/M6)</f>
        <v>0.16170405123245979</v>
      </c>
      <c r="P7" s="429">
        <f t="shared" ref="P7:P18" si="3">K7/M7</f>
        <v>0.9920170992496945</v>
      </c>
    </row>
    <row r="8" spans="3:16" x14ac:dyDescent="0.2">
      <c r="C8">
        <f>TFP_dataset!F21</f>
        <v>2004</v>
      </c>
      <c r="D8" t="str">
        <f>TFP_dataset!D21</f>
        <v>PG&amp;E</v>
      </c>
      <c r="E8" s="427">
        <f>TFP_dataset!R21</f>
        <v>10605018</v>
      </c>
      <c r="F8" s="427">
        <f>TFP_dataset!T21</f>
        <v>11190628</v>
      </c>
      <c r="G8" s="432">
        <f t="shared" si="0"/>
        <v>-585610</v>
      </c>
      <c r="J8">
        <v>2004</v>
      </c>
      <c r="K8" s="427">
        <f t="shared" si="1"/>
        <v>49261506.894000001</v>
      </c>
      <c r="L8" s="429">
        <f t="shared" ref="L8:N18" si="4">LN(K8/K7)</f>
        <v>-9.3112414727799769E-2</v>
      </c>
      <c r="M8" s="427">
        <f t="shared" si="2"/>
        <v>49576466</v>
      </c>
      <c r="N8" s="429">
        <f t="shared" si="4"/>
        <v>-9.4754086947288374E-2</v>
      </c>
      <c r="P8" s="429">
        <f t="shared" si="3"/>
        <v>0.99364700368114178</v>
      </c>
    </row>
    <row r="9" spans="3:16" x14ac:dyDescent="0.2">
      <c r="C9">
        <f>TFP_dataset!F22</f>
        <v>2005</v>
      </c>
      <c r="D9" t="str">
        <f>TFP_dataset!D22</f>
        <v>PG&amp;E</v>
      </c>
      <c r="E9" s="427">
        <f>TFP_dataset!R22</f>
        <v>12181584.578</v>
      </c>
      <c r="F9" s="427">
        <f>TFP_dataset!T22</f>
        <v>12817318</v>
      </c>
      <c r="G9" s="432">
        <f t="shared" si="0"/>
        <v>-635733.42200000025</v>
      </c>
      <c r="J9">
        <v>2005</v>
      </c>
      <c r="K9" s="427">
        <f t="shared" si="1"/>
        <v>52312263.300999999</v>
      </c>
      <c r="L9" s="429">
        <f t="shared" si="4"/>
        <v>6.0087840681688549E-2</v>
      </c>
      <c r="M9" s="427">
        <f t="shared" si="2"/>
        <v>52529160</v>
      </c>
      <c r="N9" s="429">
        <f t="shared" si="4"/>
        <v>5.7852198650484341E-2</v>
      </c>
      <c r="P9" s="429">
        <f t="shared" si="3"/>
        <v>0.99587092770948549</v>
      </c>
    </row>
    <row r="10" spans="3:16" x14ac:dyDescent="0.2">
      <c r="C10">
        <f>TFP_dataset!F23</f>
        <v>2006</v>
      </c>
      <c r="D10" t="str">
        <f>TFP_dataset!D23</f>
        <v>PG&amp;E</v>
      </c>
      <c r="E10" s="427">
        <f>TFP_dataset!R23</f>
        <v>14345678.945</v>
      </c>
      <c r="F10" s="427">
        <f>TFP_dataset!T23</f>
        <v>14999572</v>
      </c>
      <c r="G10" s="432">
        <f t="shared" si="0"/>
        <v>-653893.0549999997</v>
      </c>
      <c r="J10">
        <v>2006</v>
      </c>
      <c r="K10" s="427">
        <f t="shared" si="1"/>
        <v>55724576.420000002</v>
      </c>
      <c r="L10" s="429">
        <f t="shared" si="4"/>
        <v>6.3190454459483486E-2</v>
      </c>
      <c r="M10" s="427">
        <f t="shared" si="2"/>
        <v>56060588</v>
      </c>
      <c r="N10" s="429">
        <f t="shared" si="4"/>
        <v>6.5064590468025693E-2</v>
      </c>
      <c r="P10" s="429">
        <f t="shared" si="3"/>
        <v>0.99400627799337393</v>
      </c>
    </row>
    <row r="11" spans="3:16" x14ac:dyDescent="0.2">
      <c r="C11">
        <f>TFP_dataset!F24</f>
        <v>2007</v>
      </c>
      <c r="D11" t="str">
        <f>TFP_dataset!D24</f>
        <v>PG&amp;E</v>
      </c>
      <c r="E11" s="427">
        <f>TFP_dataset!R24</f>
        <v>8097547.4500000002</v>
      </c>
      <c r="F11" s="427">
        <f>TFP_dataset!T24</f>
        <v>8534739</v>
      </c>
      <c r="G11" s="432">
        <f t="shared" si="0"/>
        <v>-437191.54999999981</v>
      </c>
      <c r="J11">
        <v>2007</v>
      </c>
      <c r="K11" s="427">
        <f t="shared" si="1"/>
        <v>40820788.307999998</v>
      </c>
      <c r="L11" s="429">
        <f t="shared" si="4"/>
        <v>-0.31122980898370872</v>
      </c>
      <c r="M11" s="427">
        <f t="shared" si="2"/>
        <v>40440559</v>
      </c>
      <c r="N11" s="429">
        <f t="shared" si="4"/>
        <v>-0.32659981743936495</v>
      </c>
      <c r="P11" s="429">
        <f t="shared" si="3"/>
        <v>1.009402177353681</v>
      </c>
    </row>
    <row r="12" spans="3:16" x14ac:dyDescent="0.2">
      <c r="C12">
        <f>TFP_dataset!F25</f>
        <v>2008</v>
      </c>
      <c r="D12" t="str">
        <f>TFP_dataset!D25</f>
        <v>PG&amp;E</v>
      </c>
      <c r="E12" s="427">
        <f>TFP_dataset!R25</f>
        <v>8145243.9499999993</v>
      </c>
      <c r="F12" s="427">
        <f>TFP_dataset!T25</f>
        <v>8576891</v>
      </c>
      <c r="G12" s="432">
        <f t="shared" si="0"/>
        <v>-431647.05000000075</v>
      </c>
      <c r="J12">
        <v>2008</v>
      </c>
      <c r="K12" s="427">
        <f t="shared" si="1"/>
        <v>41978490.045000002</v>
      </c>
      <c r="L12" s="429">
        <f t="shared" si="4"/>
        <v>2.7965876305090738E-2</v>
      </c>
      <c r="M12" s="427">
        <f t="shared" si="2"/>
        <v>41795780</v>
      </c>
      <c r="N12" s="429">
        <f t="shared" si="4"/>
        <v>3.2962160492105763E-2</v>
      </c>
      <c r="P12" s="429">
        <f t="shared" si="3"/>
        <v>1.0043714950408869</v>
      </c>
    </row>
    <row r="13" spans="3:16" x14ac:dyDescent="0.2">
      <c r="C13">
        <f>TFP_dataset!F26</f>
        <v>2009</v>
      </c>
      <c r="D13" t="str">
        <f>TFP_dataset!D26</f>
        <v>PG&amp;E</v>
      </c>
      <c r="E13" s="427">
        <f>TFP_dataset!R26</f>
        <v>8927397.9059999995</v>
      </c>
      <c r="F13" s="427">
        <f>TFP_dataset!T26</f>
        <v>9399117</v>
      </c>
      <c r="G13" s="432">
        <f t="shared" si="0"/>
        <v>-471719.09400000051</v>
      </c>
      <c r="J13">
        <v>2009</v>
      </c>
      <c r="K13" s="427">
        <f t="shared" si="1"/>
        <v>50687955.740000002</v>
      </c>
      <c r="L13" s="429">
        <f t="shared" si="4"/>
        <v>0.18853097769834853</v>
      </c>
      <c r="M13" s="427">
        <f t="shared" si="2"/>
        <v>51364981</v>
      </c>
      <c r="N13" s="429">
        <f>LN(M13/M12)</f>
        <v>0.20616125927005768</v>
      </c>
      <c r="P13" s="429">
        <f t="shared" si="3"/>
        <v>0.98681932229275038</v>
      </c>
    </row>
    <row r="14" spans="3:16" x14ac:dyDescent="0.2">
      <c r="C14">
        <f>TFP_dataset!F27</f>
        <v>2010</v>
      </c>
      <c r="D14" t="str">
        <f>TFP_dataset!D27</f>
        <v>PG&amp;E</v>
      </c>
      <c r="E14" s="427">
        <f>TFP_dataset!R27</f>
        <v>10485910.419</v>
      </c>
      <c r="F14" s="427">
        <f>TFP_dataset!T27</f>
        <v>10960100</v>
      </c>
      <c r="G14" s="432">
        <f t="shared" si="0"/>
        <v>-474189.58100000024</v>
      </c>
      <c r="J14">
        <v>2010</v>
      </c>
      <c r="K14" s="427">
        <f t="shared" si="1"/>
        <v>50201380.869999997</v>
      </c>
      <c r="L14" s="429">
        <f t="shared" si="4"/>
        <v>-9.6457893167241453E-3</v>
      </c>
      <c r="M14" s="427">
        <f t="shared" si="2"/>
        <v>50376672</v>
      </c>
      <c r="N14" s="429">
        <f t="shared" si="4"/>
        <v>-1.9428425983441223E-2</v>
      </c>
      <c r="P14" s="429">
        <f t="shared" si="3"/>
        <v>0.99652039082692878</v>
      </c>
    </row>
    <row r="15" spans="3:16" x14ac:dyDescent="0.2">
      <c r="C15">
        <f>TFP_dataset!F28</f>
        <v>2011</v>
      </c>
      <c r="D15" t="str">
        <f>TFP_dataset!D28</f>
        <v>PG&amp;E</v>
      </c>
      <c r="E15" s="427">
        <f>TFP_dataset!R28</f>
        <v>12046692.877</v>
      </c>
      <c r="F15" s="427">
        <f>TFP_dataset!T28</f>
        <v>12102919</v>
      </c>
      <c r="G15" s="432">
        <f t="shared" si="0"/>
        <v>-56226.122999999672</v>
      </c>
      <c r="J15">
        <v>2011</v>
      </c>
      <c r="K15" s="427">
        <f t="shared" si="1"/>
        <v>55623471.741999999</v>
      </c>
      <c r="L15" s="429">
        <f t="shared" si="4"/>
        <v>0.10256273211797459</v>
      </c>
      <c r="M15" s="427">
        <f t="shared" si="2"/>
        <v>55229124</v>
      </c>
      <c r="N15" s="429">
        <f t="shared" si="4"/>
        <v>9.1962212059138237E-2</v>
      </c>
      <c r="P15" s="429">
        <f t="shared" si="3"/>
        <v>1.007140213594552</v>
      </c>
    </row>
    <row r="16" spans="3:16" x14ac:dyDescent="0.2">
      <c r="C16">
        <f>TFP_dataset!F29</f>
        <v>2012</v>
      </c>
      <c r="D16" t="str">
        <f>TFP_dataset!D29</f>
        <v>PG&amp;E</v>
      </c>
      <c r="E16" s="427">
        <f>TFP_dataset!R29</f>
        <v>7874464.4069999997</v>
      </c>
      <c r="F16" s="427">
        <f>TFP_dataset!T29</f>
        <v>8259055</v>
      </c>
      <c r="G16" s="432">
        <f t="shared" si="0"/>
        <v>-384590.59300000034</v>
      </c>
      <c r="J16">
        <v>2012</v>
      </c>
      <c r="K16" s="427">
        <f t="shared" si="1"/>
        <v>45616713.023000002</v>
      </c>
      <c r="L16" s="429">
        <f t="shared" si="4"/>
        <v>-0.19833110277495922</v>
      </c>
      <c r="M16" s="427">
        <f t="shared" si="2"/>
        <v>43716894</v>
      </c>
      <c r="N16" s="429">
        <f t="shared" si="4"/>
        <v>-0.23375580505842217</v>
      </c>
      <c r="P16" s="429">
        <f t="shared" si="3"/>
        <v>1.0434573193374626</v>
      </c>
    </row>
    <row r="17" spans="3:16" x14ac:dyDescent="0.2">
      <c r="C17">
        <f>TFP_dataset!F30</f>
        <v>2013</v>
      </c>
      <c r="D17" t="str">
        <f>TFP_dataset!D30</f>
        <v>PG&amp;E</v>
      </c>
      <c r="E17" s="427">
        <f>TFP_dataset!R30</f>
        <v>7607400.8310000002</v>
      </c>
      <c r="F17" s="427">
        <f>TFP_dataset!T30</f>
        <v>7960208</v>
      </c>
      <c r="G17" s="432">
        <f t="shared" si="0"/>
        <v>-352807.16899999976</v>
      </c>
      <c r="J17">
        <v>2013</v>
      </c>
      <c r="K17" s="427">
        <f t="shared" si="1"/>
        <v>44767573.372000001</v>
      </c>
      <c r="L17" s="429">
        <f t="shared" si="4"/>
        <v>-1.87900943486288E-2</v>
      </c>
      <c r="M17" s="427">
        <f t="shared" si="2"/>
        <v>45047680</v>
      </c>
      <c r="N17" s="429">
        <f t="shared" si="4"/>
        <v>2.9986866609329602E-2</v>
      </c>
      <c r="P17" s="429">
        <f t="shared" si="3"/>
        <v>0.99378199658672772</v>
      </c>
    </row>
    <row r="18" spans="3:16" x14ac:dyDescent="0.2">
      <c r="C18">
        <f>TFP_dataset!F31</f>
        <v>2014</v>
      </c>
      <c r="D18" t="str">
        <f>TFP_dataset!D31</f>
        <v>PG&amp;E</v>
      </c>
      <c r="E18" s="427">
        <f>TFP_dataset!R31</f>
        <v>5740008.1030000001</v>
      </c>
      <c r="F18" s="427">
        <f>TFP_dataset!T31</f>
        <v>5961316</v>
      </c>
      <c r="G18" s="432">
        <f t="shared" si="0"/>
        <v>-221307.89699999988</v>
      </c>
      <c r="J18">
        <v>2014</v>
      </c>
      <c r="K18" s="427">
        <f t="shared" si="1"/>
        <v>41143841.748999998</v>
      </c>
      <c r="L18" s="429">
        <f t="shared" si="4"/>
        <v>-8.4409806490680236E-2</v>
      </c>
      <c r="M18" s="427">
        <f t="shared" si="2"/>
        <v>40966551</v>
      </c>
      <c r="N18" s="429">
        <f t="shared" si="4"/>
        <v>-9.496557992687138E-2</v>
      </c>
      <c r="P18" s="429">
        <f t="shared" si="3"/>
        <v>1.0043276952702218</v>
      </c>
    </row>
    <row r="19" spans="3:16" x14ac:dyDescent="0.2">
      <c r="C19">
        <f>TFP_dataset!F32</f>
        <v>2002</v>
      </c>
      <c r="D19" t="str">
        <f>TFP_dataset!D32</f>
        <v>Duke</v>
      </c>
      <c r="E19" s="427">
        <f>TFP_dataset!R32</f>
        <v>4959184.55</v>
      </c>
      <c r="F19" s="427">
        <f>TFP_dataset!T32</f>
        <v>4210571</v>
      </c>
      <c r="G19" s="432">
        <f t="shared" si="0"/>
        <v>748613.54999999981</v>
      </c>
      <c r="K19" s="427"/>
      <c r="L19" s="427"/>
    </row>
    <row r="20" spans="3:16" x14ac:dyDescent="0.2">
      <c r="C20">
        <f>TFP_dataset!F33</f>
        <v>2003</v>
      </c>
      <c r="D20" t="str">
        <f>TFP_dataset!D33</f>
        <v>Duke</v>
      </c>
      <c r="E20" s="427">
        <f>TFP_dataset!R33</f>
        <v>6349659</v>
      </c>
      <c r="F20" s="427">
        <f>TFP_dataset!T33</f>
        <v>6480742</v>
      </c>
      <c r="G20" s="432">
        <f t="shared" si="0"/>
        <v>-131083</v>
      </c>
      <c r="J20" s="18" t="s">
        <v>96</v>
      </c>
      <c r="L20" s="431">
        <f>AVERAGE(L7:L18)</f>
        <v>-1.0859544071433557E-2</v>
      </c>
      <c r="M20" s="431"/>
      <c r="N20" s="431">
        <f>AVERAGE(N7:N18)</f>
        <v>-1.0317531381148914E-2</v>
      </c>
      <c r="P20" s="430"/>
    </row>
    <row r="21" spans="3:16" x14ac:dyDescent="0.2">
      <c r="C21">
        <f>TFP_dataset!F34</f>
        <v>2004</v>
      </c>
      <c r="D21" t="str">
        <f>TFP_dataset!D34</f>
        <v>Duke</v>
      </c>
      <c r="E21" s="427">
        <f>TFP_dataset!R34</f>
        <v>5133383</v>
      </c>
      <c r="F21" s="427">
        <f>TFP_dataset!T34</f>
        <v>5256104</v>
      </c>
      <c r="G21" s="432">
        <f t="shared" si="0"/>
        <v>-122721</v>
      </c>
    </row>
    <row r="22" spans="3:16" x14ac:dyDescent="0.2">
      <c r="C22">
        <f>TFP_dataset!F35</f>
        <v>2005</v>
      </c>
      <c r="D22" t="str">
        <f>TFP_dataset!D35</f>
        <v>Duke</v>
      </c>
      <c r="E22" s="427">
        <f>TFP_dataset!R35</f>
        <v>5526417</v>
      </c>
      <c r="F22" s="427">
        <f>TFP_dataset!T35</f>
        <v>5662246</v>
      </c>
      <c r="G22" s="432">
        <f t="shared" si="0"/>
        <v>-135829</v>
      </c>
      <c r="M22" s="688" t="s">
        <v>650</v>
      </c>
      <c r="N22" s="689">
        <f>L20-N20</f>
        <v>-5.4201269028464338E-4</v>
      </c>
    </row>
    <row r="23" spans="3:16" x14ac:dyDescent="0.2">
      <c r="C23">
        <f>TFP_dataset!F36</f>
        <v>2006</v>
      </c>
      <c r="D23" t="str">
        <f>TFP_dataset!D36</f>
        <v>Duke</v>
      </c>
      <c r="E23" s="427">
        <f>TFP_dataset!R36</f>
        <v>4476743</v>
      </c>
      <c r="F23" s="427">
        <f>TFP_dataset!T36</f>
        <v>4558650</v>
      </c>
      <c r="G23" s="432">
        <f t="shared" si="0"/>
        <v>-81907</v>
      </c>
    </row>
    <row r="24" spans="3:16" x14ac:dyDescent="0.2">
      <c r="C24">
        <f>TFP_dataset!F37</f>
        <v>2007</v>
      </c>
      <c r="D24" t="str">
        <f>TFP_dataset!D37</f>
        <v>Duke</v>
      </c>
      <c r="E24" s="427">
        <f>TFP_dataset!R37</f>
        <v>4470974</v>
      </c>
      <c r="F24" s="427">
        <f>TFP_dataset!T37</f>
        <v>4533857</v>
      </c>
      <c r="G24" s="432">
        <f t="shared" si="0"/>
        <v>-62883</v>
      </c>
    </row>
    <row r="25" spans="3:16" x14ac:dyDescent="0.2">
      <c r="C25">
        <f>TFP_dataset!F38</f>
        <v>2008</v>
      </c>
      <c r="D25" t="str">
        <f>TFP_dataset!D38</f>
        <v>Duke</v>
      </c>
      <c r="E25" s="427">
        <f>TFP_dataset!R38</f>
        <v>4618792</v>
      </c>
      <c r="F25" s="427">
        <f>TFP_dataset!T38</f>
        <v>4686537</v>
      </c>
      <c r="G25" s="432">
        <f t="shared" si="0"/>
        <v>-67745</v>
      </c>
    </row>
    <row r="26" spans="3:16" x14ac:dyDescent="0.2">
      <c r="C26">
        <f>TFP_dataset!F39</f>
        <v>2009</v>
      </c>
      <c r="D26" t="str">
        <f>TFP_dataset!D39</f>
        <v>Duke</v>
      </c>
      <c r="E26" s="427">
        <f>TFP_dataset!R39</f>
        <v>4767989</v>
      </c>
      <c r="F26" s="427">
        <f>TFP_dataset!T39</f>
        <v>4875398</v>
      </c>
      <c r="G26" s="432">
        <f t="shared" si="0"/>
        <v>-107409</v>
      </c>
    </row>
    <row r="27" spans="3:16" x14ac:dyDescent="0.2">
      <c r="C27">
        <f>TFP_dataset!F40</f>
        <v>2010</v>
      </c>
      <c r="D27" t="str">
        <f>TFP_dataset!D40</f>
        <v>Duke</v>
      </c>
      <c r="E27" s="427">
        <f>TFP_dataset!R40</f>
        <v>4757841</v>
      </c>
      <c r="F27" s="427">
        <f>TFP_dataset!T40</f>
        <v>4847601</v>
      </c>
      <c r="G27" s="432">
        <f t="shared" si="0"/>
        <v>-89760</v>
      </c>
    </row>
    <row r="28" spans="3:16" x14ac:dyDescent="0.2">
      <c r="C28">
        <f>TFP_dataset!F41</f>
        <v>2011</v>
      </c>
      <c r="D28" t="str">
        <f>TFP_dataset!D41</f>
        <v>Duke</v>
      </c>
      <c r="E28" s="427">
        <f>TFP_dataset!R41</f>
        <v>4256244</v>
      </c>
      <c r="F28" s="427">
        <f>TFP_dataset!T41</f>
        <v>4347084</v>
      </c>
      <c r="G28" s="432">
        <f t="shared" si="0"/>
        <v>-90840</v>
      </c>
    </row>
    <row r="29" spans="3:16" x14ac:dyDescent="0.2">
      <c r="C29">
        <f>TFP_dataset!F42</f>
        <v>2012</v>
      </c>
      <c r="D29" t="str">
        <f>TFP_dataset!D42</f>
        <v>Duke</v>
      </c>
      <c r="E29" s="427">
        <f>TFP_dataset!R42</f>
        <v>3989993</v>
      </c>
      <c r="F29" s="427">
        <f>TFP_dataset!T42</f>
        <v>4081585</v>
      </c>
      <c r="G29" s="432">
        <f t="shared" si="0"/>
        <v>-91592</v>
      </c>
    </row>
    <row r="30" spans="3:16" x14ac:dyDescent="0.2">
      <c r="C30">
        <f>TFP_dataset!F43</f>
        <v>2013</v>
      </c>
      <c r="D30" t="str">
        <f>TFP_dataset!D43</f>
        <v>Duke</v>
      </c>
      <c r="E30" s="427">
        <f>TFP_dataset!R43</f>
        <v>5258826</v>
      </c>
      <c r="F30" s="427">
        <f>TFP_dataset!T43</f>
        <v>5487511</v>
      </c>
      <c r="G30" s="432">
        <f t="shared" si="0"/>
        <v>-228685</v>
      </c>
    </row>
    <row r="31" spans="3:16" x14ac:dyDescent="0.2">
      <c r="C31">
        <f>TFP_dataset!F44</f>
        <v>2014</v>
      </c>
      <c r="D31" t="str">
        <f>TFP_dataset!D44</f>
        <v>Duke</v>
      </c>
      <c r="E31" s="427">
        <f>TFP_dataset!R44</f>
        <v>5008985</v>
      </c>
      <c r="F31" s="427">
        <f>TFP_dataset!T44</f>
        <v>5090908</v>
      </c>
      <c r="G31" s="432">
        <f t="shared" si="0"/>
        <v>-81923</v>
      </c>
    </row>
    <row r="32" spans="3:16" x14ac:dyDescent="0.2">
      <c r="C32">
        <f>TFP_dataset!F45</f>
        <v>2002</v>
      </c>
      <c r="D32" t="str">
        <f>TFP_dataset!D45</f>
        <v>VA Electric</v>
      </c>
      <c r="E32" s="427">
        <f>TFP_dataset!R45</f>
        <v>2745908</v>
      </c>
      <c r="F32" s="427">
        <f>TFP_dataset!T45</f>
        <v>2749828</v>
      </c>
      <c r="G32" s="432">
        <f t="shared" si="0"/>
        <v>-3920</v>
      </c>
    </row>
    <row r="33" spans="3:7" x14ac:dyDescent="0.2">
      <c r="C33">
        <f>TFP_dataset!F46</f>
        <v>2003</v>
      </c>
      <c r="D33" t="str">
        <f>TFP_dataset!D46</f>
        <v>VA Electric</v>
      </c>
      <c r="E33" s="427">
        <f>TFP_dataset!R46</f>
        <v>3524075</v>
      </c>
      <c r="F33" s="427">
        <f>TFP_dataset!T46</f>
        <v>3546773</v>
      </c>
      <c r="G33" s="432">
        <f t="shared" si="0"/>
        <v>-22698</v>
      </c>
    </row>
    <row r="34" spans="3:7" x14ac:dyDescent="0.2">
      <c r="C34">
        <f>TFP_dataset!F47</f>
        <v>2004</v>
      </c>
      <c r="D34" t="str">
        <f>TFP_dataset!D47</f>
        <v>VA Electric</v>
      </c>
      <c r="E34" s="427">
        <f>TFP_dataset!R47</f>
        <v>3072059</v>
      </c>
      <c r="F34" s="427">
        <f>TFP_dataset!T47</f>
        <v>3100868</v>
      </c>
      <c r="G34" s="432">
        <f t="shared" si="0"/>
        <v>-28809</v>
      </c>
    </row>
    <row r="35" spans="3:7" x14ac:dyDescent="0.2">
      <c r="C35">
        <f>TFP_dataset!F48</f>
        <v>2005</v>
      </c>
      <c r="D35" t="str">
        <f>TFP_dataset!D48</f>
        <v>VA Electric</v>
      </c>
      <c r="E35" s="427">
        <f>TFP_dataset!R48</f>
        <v>2589093.2000000002</v>
      </c>
      <c r="F35" s="427">
        <f>TFP_dataset!T48</f>
        <v>2540025</v>
      </c>
      <c r="G35" s="432">
        <f t="shared" si="0"/>
        <v>49068.200000000186</v>
      </c>
    </row>
    <row r="36" spans="3:7" x14ac:dyDescent="0.2">
      <c r="C36">
        <f>TFP_dataset!F49</f>
        <v>2006</v>
      </c>
      <c r="D36" t="str">
        <f>TFP_dataset!D49</f>
        <v>VA Electric</v>
      </c>
      <c r="E36" s="427">
        <f>TFP_dataset!R49</f>
        <v>2929976.6</v>
      </c>
      <c r="F36" s="427">
        <f>TFP_dataset!T49</f>
        <v>3149240</v>
      </c>
      <c r="G36" s="432">
        <f t="shared" si="0"/>
        <v>-219263.39999999991</v>
      </c>
    </row>
    <row r="37" spans="3:7" x14ac:dyDescent="0.2">
      <c r="C37">
        <f>TFP_dataset!F50</f>
        <v>2007</v>
      </c>
      <c r="D37" t="str">
        <f>TFP_dataset!D50</f>
        <v>VA Electric</v>
      </c>
      <c r="E37" s="427">
        <f>TFP_dataset!R50</f>
        <v>2767600.8</v>
      </c>
      <c r="F37" s="427">
        <f>TFP_dataset!T50</f>
        <v>2641566</v>
      </c>
      <c r="G37" s="432">
        <f t="shared" si="0"/>
        <v>126034.79999999981</v>
      </c>
    </row>
    <row r="38" spans="3:7" x14ac:dyDescent="0.2">
      <c r="C38">
        <f>TFP_dataset!F51</f>
        <v>2008</v>
      </c>
      <c r="D38" t="str">
        <f>TFP_dataset!D51</f>
        <v>VA Electric</v>
      </c>
      <c r="E38" s="427">
        <f>TFP_dataset!R51</f>
        <v>2044218</v>
      </c>
      <c r="F38" s="427">
        <f>TFP_dataset!T51</f>
        <v>2047325</v>
      </c>
      <c r="G38" s="432">
        <f t="shared" si="0"/>
        <v>-3107</v>
      </c>
    </row>
    <row r="39" spans="3:7" x14ac:dyDescent="0.2">
      <c r="C39">
        <f>TFP_dataset!F52</f>
        <v>2009</v>
      </c>
      <c r="D39" t="str">
        <f>TFP_dataset!D52</f>
        <v>VA Electric</v>
      </c>
      <c r="E39" s="427">
        <f>TFP_dataset!R52</f>
        <v>2813461</v>
      </c>
      <c r="F39" s="427">
        <f>TFP_dataset!T52</f>
        <v>3502318</v>
      </c>
      <c r="G39" s="432">
        <f t="shared" si="0"/>
        <v>-688857</v>
      </c>
    </row>
    <row r="40" spans="3:7" x14ac:dyDescent="0.2">
      <c r="C40">
        <f>TFP_dataset!F53</f>
        <v>2010</v>
      </c>
      <c r="D40" t="str">
        <f>TFP_dataset!D53</f>
        <v>VA Electric</v>
      </c>
      <c r="E40" s="427">
        <f>TFP_dataset!R53</f>
        <v>3262835.7399999998</v>
      </c>
      <c r="F40" s="427">
        <f>TFP_dataset!T53</f>
        <v>4103871</v>
      </c>
      <c r="G40" s="432">
        <f t="shared" si="0"/>
        <v>-841035.26000000024</v>
      </c>
    </row>
    <row r="41" spans="3:7" x14ac:dyDescent="0.2">
      <c r="C41">
        <f>TFP_dataset!F54</f>
        <v>2011</v>
      </c>
      <c r="D41" t="str">
        <f>TFP_dataset!D54</f>
        <v>VA Electric</v>
      </c>
      <c r="E41" s="427">
        <f>TFP_dataset!R54</f>
        <v>2936356.99</v>
      </c>
      <c r="F41" s="427">
        <f>TFP_dataset!T54</f>
        <v>3184446</v>
      </c>
      <c r="G41" s="432">
        <f t="shared" si="0"/>
        <v>-248089.00999999978</v>
      </c>
    </row>
    <row r="42" spans="3:7" x14ac:dyDescent="0.2">
      <c r="C42">
        <f>TFP_dataset!F55</f>
        <v>2012</v>
      </c>
      <c r="D42" t="str">
        <f>TFP_dataset!D55</f>
        <v>VA Electric</v>
      </c>
      <c r="E42" s="427">
        <f>TFP_dataset!R55</f>
        <v>4495194.83</v>
      </c>
      <c r="F42" s="427">
        <f>TFP_dataset!T55</f>
        <v>3079915</v>
      </c>
      <c r="G42" s="432">
        <f t="shared" si="0"/>
        <v>1415279.83</v>
      </c>
    </row>
    <row r="43" spans="3:7" x14ac:dyDescent="0.2">
      <c r="C43">
        <f>TFP_dataset!F56</f>
        <v>2013</v>
      </c>
      <c r="D43" t="str">
        <f>TFP_dataset!D56</f>
        <v>VA Electric</v>
      </c>
      <c r="E43" s="427">
        <f>TFP_dataset!R56</f>
        <v>2932192.89</v>
      </c>
      <c r="F43" s="427">
        <f>TFP_dataset!T56</f>
        <v>3446004</v>
      </c>
      <c r="G43" s="432">
        <f t="shared" si="0"/>
        <v>-513811.10999999987</v>
      </c>
    </row>
    <row r="44" spans="3:7" x14ac:dyDescent="0.2">
      <c r="C44">
        <f>TFP_dataset!F57</f>
        <v>2014</v>
      </c>
      <c r="D44" t="str">
        <f>TFP_dataset!D57</f>
        <v>VA Electric</v>
      </c>
      <c r="E44" s="427">
        <f>TFP_dataset!R57</f>
        <v>3095734.01</v>
      </c>
      <c r="F44" s="427">
        <f>TFP_dataset!T57</f>
        <v>3527034</v>
      </c>
      <c r="G44" s="432">
        <f t="shared" si="0"/>
        <v>-431299.99000000022</v>
      </c>
    </row>
    <row r="45" spans="3:7" x14ac:dyDescent="0.2">
      <c r="C45">
        <f>TFP_dataset!F58</f>
        <v>2002</v>
      </c>
      <c r="D45" t="str">
        <f>TFP_dataset!D58</f>
        <v>ID Power</v>
      </c>
      <c r="E45" s="427">
        <f>TFP_dataset!R58</f>
        <v>5972445</v>
      </c>
      <c r="F45" s="427">
        <f>TFP_dataset!T58</f>
        <v>6068478</v>
      </c>
      <c r="G45" s="432">
        <f t="shared" si="0"/>
        <v>-96033</v>
      </c>
    </row>
    <row r="46" spans="3:7" x14ac:dyDescent="0.2">
      <c r="C46">
        <f>TFP_dataset!F59</f>
        <v>2003</v>
      </c>
      <c r="D46" t="str">
        <f>TFP_dataset!D59</f>
        <v>ID Power</v>
      </c>
      <c r="E46" s="427">
        <f>TFP_dataset!R59</f>
        <v>6088883</v>
      </c>
      <c r="F46" s="427">
        <f>TFP_dataset!T59</f>
        <v>6149234</v>
      </c>
      <c r="G46" s="432">
        <f t="shared" si="0"/>
        <v>-60351</v>
      </c>
    </row>
    <row r="47" spans="3:7" x14ac:dyDescent="0.2">
      <c r="C47">
        <f>TFP_dataset!F60</f>
        <v>2004</v>
      </c>
      <c r="D47" t="str">
        <f>TFP_dataset!D60</f>
        <v>ID Power</v>
      </c>
      <c r="E47" s="427">
        <f>TFP_dataset!R60</f>
        <v>5972148</v>
      </c>
      <c r="F47" s="427">
        <f>TFP_dataset!T60</f>
        <v>6040502</v>
      </c>
      <c r="G47" s="432">
        <f t="shared" si="0"/>
        <v>-68354</v>
      </c>
    </row>
    <row r="48" spans="3:7" x14ac:dyDescent="0.2">
      <c r="C48">
        <f>TFP_dataset!F61</f>
        <v>2005</v>
      </c>
      <c r="D48" t="str">
        <f>TFP_dataset!D61</f>
        <v>ID Power</v>
      </c>
      <c r="E48" s="427">
        <f>TFP_dataset!R61</f>
        <v>6144823</v>
      </c>
      <c r="F48" s="427">
        <f>TFP_dataset!T61</f>
        <v>6198524</v>
      </c>
      <c r="G48" s="432">
        <f t="shared" si="0"/>
        <v>-53701</v>
      </c>
    </row>
    <row r="49" spans="3:7" x14ac:dyDescent="0.2">
      <c r="C49">
        <f>TFP_dataset!F62</f>
        <v>2006</v>
      </c>
      <c r="D49" t="str">
        <f>TFP_dataset!D62</f>
        <v>ID Power</v>
      </c>
      <c r="E49" s="427">
        <f>TFP_dataset!R62</f>
        <v>9140420</v>
      </c>
      <c r="F49" s="427">
        <f>TFP_dataset!T62</f>
        <v>9206526</v>
      </c>
      <c r="G49" s="432">
        <f t="shared" si="0"/>
        <v>-66106</v>
      </c>
    </row>
    <row r="50" spans="3:7" x14ac:dyDescent="0.2">
      <c r="C50">
        <f>TFP_dataset!F63</f>
        <v>2007</v>
      </c>
      <c r="D50" t="str">
        <f>TFP_dataset!D63</f>
        <v>ID Power</v>
      </c>
      <c r="E50" s="427">
        <f>TFP_dataset!R63</f>
        <v>6111406</v>
      </c>
      <c r="F50" s="427">
        <f>TFP_dataset!T63</f>
        <v>6181322</v>
      </c>
      <c r="G50" s="432">
        <f t="shared" si="0"/>
        <v>-69916</v>
      </c>
    </row>
    <row r="51" spans="3:7" x14ac:dyDescent="0.2">
      <c r="C51">
        <f>TFP_dataset!F64</f>
        <v>2008</v>
      </c>
      <c r="D51" t="str">
        <f>TFP_dataset!D64</f>
        <v>ID Power</v>
      </c>
      <c r="E51" s="427">
        <f>TFP_dataset!R64</f>
        <v>6839696</v>
      </c>
      <c r="F51" s="427">
        <f>TFP_dataset!T64</f>
        <v>6908211</v>
      </c>
      <c r="G51" s="432">
        <f t="shared" si="0"/>
        <v>-68515</v>
      </c>
    </row>
    <row r="52" spans="3:7" x14ac:dyDescent="0.2">
      <c r="C52">
        <f>TFP_dataset!F65</f>
        <v>2009</v>
      </c>
      <c r="D52" t="str">
        <f>TFP_dataset!D65</f>
        <v>ID Power</v>
      </c>
      <c r="E52" s="427">
        <f>TFP_dataset!R65</f>
        <v>8028082</v>
      </c>
      <c r="F52" s="427">
        <f>TFP_dataset!T65</f>
        <v>8096365</v>
      </c>
      <c r="G52" s="432">
        <f t="shared" si="0"/>
        <v>-68283</v>
      </c>
    </row>
    <row r="53" spans="3:7" x14ac:dyDescent="0.2">
      <c r="C53">
        <f>TFP_dataset!F66</f>
        <v>2010</v>
      </c>
      <c r="D53" t="str">
        <f>TFP_dataset!D66</f>
        <v>ID Power</v>
      </c>
      <c r="E53" s="427">
        <f>TFP_dataset!R66</f>
        <v>7276822</v>
      </c>
      <c r="F53" s="427">
        <f>TFP_dataset!T66</f>
        <v>7344433</v>
      </c>
      <c r="G53" s="432">
        <f t="shared" si="0"/>
        <v>-67611</v>
      </c>
    </row>
    <row r="54" spans="3:7" x14ac:dyDescent="0.2">
      <c r="C54">
        <f>TFP_dataset!F67</f>
        <v>2011</v>
      </c>
      <c r="D54" t="str">
        <f>TFP_dataset!D67</f>
        <v>ID Power</v>
      </c>
      <c r="E54" s="427">
        <f>TFP_dataset!R67</f>
        <v>10903116</v>
      </c>
      <c r="F54" s="427">
        <f>TFP_dataset!T67</f>
        <v>10936822</v>
      </c>
      <c r="G54" s="432">
        <f t="shared" si="0"/>
        <v>-33706</v>
      </c>
    </row>
    <row r="55" spans="3:7" x14ac:dyDescent="0.2">
      <c r="C55">
        <f>TFP_dataset!F68</f>
        <v>2012</v>
      </c>
      <c r="D55" t="str">
        <f>TFP_dataset!D68</f>
        <v>ID Power</v>
      </c>
      <c r="E55" s="427">
        <f>TFP_dataset!R68</f>
        <v>7882921</v>
      </c>
      <c r="F55" s="427">
        <f>TFP_dataset!T68</f>
        <v>7956343</v>
      </c>
      <c r="G55" s="432">
        <f t="shared" si="0"/>
        <v>-73422</v>
      </c>
    </row>
    <row r="56" spans="3:7" x14ac:dyDescent="0.2">
      <c r="C56">
        <f>TFP_dataset!F69</f>
        <v>2013</v>
      </c>
      <c r="D56" t="str">
        <f>TFP_dataset!D69</f>
        <v>ID Power</v>
      </c>
      <c r="E56" s="427">
        <f>TFP_dataset!R69</f>
        <v>5587871</v>
      </c>
      <c r="F56" s="427">
        <f>TFP_dataset!T69</f>
        <v>5656364</v>
      </c>
      <c r="G56" s="432">
        <f t="shared" si="0"/>
        <v>-68493</v>
      </c>
    </row>
    <row r="57" spans="3:7" x14ac:dyDescent="0.2">
      <c r="C57">
        <f>TFP_dataset!F70</f>
        <v>2014</v>
      </c>
      <c r="D57" t="str">
        <f>TFP_dataset!D70</f>
        <v>ID Power</v>
      </c>
      <c r="E57" s="427">
        <f>TFP_dataset!R70</f>
        <v>6097434</v>
      </c>
      <c r="F57" s="427">
        <f>TFP_dataset!T70</f>
        <v>6169847</v>
      </c>
      <c r="G57" s="432">
        <f t="shared" si="0"/>
        <v>-72413</v>
      </c>
    </row>
    <row r="58" spans="3:7" x14ac:dyDescent="0.2">
      <c r="C58">
        <f>TFP_dataset!F71</f>
        <v>2002</v>
      </c>
      <c r="D58" t="str">
        <f>TFP_dataset!D71</f>
        <v>AB Power</v>
      </c>
      <c r="E58" s="427">
        <f>TFP_dataset!R71</f>
        <v>4088810</v>
      </c>
      <c r="F58" s="427">
        <f>TFP_dataset!T71</f>
        <v>4088810</v>
      </c>
      <c r="G58" s="432">
        <f t="shared" si="0"/>
        <v>0</v>
      </c>
    </row>
    <row r="59" spans="3:7" x14ac:dyDescent="0.2">
      <c r="C59">
        <f>TFP_dataset!F72</f>
        <v>2003</v>
      </c>
      <c r="D59" t="str">
        <f>TFP_dataset!D72</f>
        <v>AB Power</v>
      </c>
      <c r="E59" s="427">
        <f>TFP_dataset!R72</f>
        <v>5761736</v>
      </c>
      <c r="F59" s="427">
        <f>TFP_dataset!T72</f>
        <v>5761736</v>
      </c>
      <c r="G59" s="432">
        <f t="shared" si="0"/>
        <v>0</v>
      </c>
    </row>
    <row r="60" spans="3:7" x14ac:dyDescent="0.2">
      <c r="C60">
        <f>TFP_dataset!F73</f>
        <v>2004</v>
      </c>
      <c r="D60" t="str">
        <f>TFP_dataset!D73</f>
        <v>AB Power</v>
      </c>
      <c r="E60" s="427">
        <f>TFP_dataset!R73</f>
        <v>4403651</v>
      </c>
      <c r="F60" s="427">
        <f>TFP_dataset!T73</f>
        <v>4468665</v>
      </c>
      <c r="G60" s="432">
        <f t="shared" si="0"/>
        <v>-65014</v>
      </c>
    </row>
    <row r="61" spans="3:7" x14ac:dyDescent="0.2">
      <c r="C61">
        <f>TFP_dataset!F74</f>
        <v>2005</v>
      </c>
      <c r="D61" t="str">
        <f>TFP_dataset!D74</f>
        <v>AB Power</v>
      </c>
      <c r="E61" s="427">
        <f>TFP_dataset!R74</f>
        <v>4436797</v>
      </c>
      <c r="F61" s="427">
        <f>TFP_dataset!T74</f>
        <v>4436797</v>
      </c>
      <c r="G61" s="432">
        <f t="shared" si="0"/>
        <v>0</v>
      </c>
    </row>
    <row r="62" spans="3:7" x14ac:dyDescent="0.2">
      <c r="C62">
        <f>TFP_dataset!F75</f>
        <v>2006</v>
      </c>
      <c r="D62" t="str">
        <f>TFP_dataset!D75</f>
        <v>AB Power</v>
      </c>
      <c r="E62" s="427">
        <f>TFP_dataset!R75</f>
        <v>3087416</v>
      </c>
      <c r="F62" s="427">
        <f>TFP_dataset!T75</f>
        <v>3087416</v>
      </c>
      <c r="G62" s="432">
        <f t="shared" si="0"/>
        <v>0</v>
      </c>
    </row>
    <row r="63" spans="3:7" x14ac:dyDescent="0.2">
      <c r="C63">
        <f>TFP_dataset!F76</f>
        <v>2007</v>
      </c>
      <c r="D63" t="str">
        <f>TFP_dataset!D76</f>
        <v>AB Power</v>
      </c>
      <c r="E63" s="427">
        <f>TFP_dataset!R76</f>
        <v>1403518</v>
      </c>
      <c r="F63" s="427">
        <f>TFP_dataset!T76</f>
        <v>1403518</v>
      </c>
      <c r="G63" s="432">
        <f t="shared" si="0"/>
        <v>0</v>
      </c>
    </row>
    <row r="64" spans="3:7" x14ac:dyDescent="0.2">
      <c r="C64">
        <f>TFP_dataset!F77</f>
        <v>2008</v>
      </c>
      <c r="D64" t="str">
        <f>TFP_dataset!D77</f>
        <v>AB Power</v>
      </c>
      <c r="E64" s="427">
        <f>TFP_dataset!R77</f>
        <v>2300449</v>
      </c>
      <c r="F64" s="427">
        <f>TFP_dataset!T77</f>
        <v>2300449</v>
      </c>
      <c r="G64" s="432">
        <f t="shared" si="0"/>
        <v>0</v>
      </c>
    </row>
    <row r="65" spans="3:7" x14ac:dyDescent="0.2">
      <c r="C65">
        <f>TFP_dataset!F78</f>
        <v>2009</v>
      </c>
      <c r="D65" t="str">
        <f>TFP_dataset!D78</f>
        <v>AB Power</v>
      </c>
      <c r="E65" s="427">
        <f>TFP_dataset!R78</f>
        <v>5905956</v>
      </c>
      <c r="F65" s="427">
        <f>TFP_dataset!T78</f>
        <v>5905956</v>
      </c>
      <c r="G65" s="432">
        <f t="shared" si="0"/>
        <v>0</v>
      </c>
    </row>
    <row r="66" spans="3:7" x14ac:dyDescent="0.2">
      <c r="C66">
        <f>TFP_dataset!F79</f>
        <v>2010</v>
      </c>
      <c r="D66" t="str">
        <f>TFP_dataset!D79</f>
        <v>AB Power</v>
      </c>
      <c r="E66" s="427">
        <f>TFP_dataset!R79</f>
        <v>3707310</v>
      </c>
      <c r="F66" s="427">
        <f>TFP_dataset!T79</f>
        <v>3707310</v>
      </c>
      <c r="G66" s="432">
        <f t="shared" si="0"/>
        <v>0</v>
      </c>
    </row>
    <row r="67" spans="3:7" x14ac:dyDescent="0.2">
      <c r="C67">
        <f>TFP_dataset!F80</f>
        <v>2011</v>
      </c>
      <c r="D67" t="str">
        <f>TFP_dataset!D80</f>
        <v>AB Power</v>
      </c>
      <c r="E67" s="427">
        <f>TFP_dataset!R80</f>
        <v>3204062</v>
      </c>
      <c r="F67" s="427">
        <f>TFP_dataset!T80</f>
        <v>3204062</v>
      </c>
      <c r="G67" s="432">
        <f t="shared" si="0"/>
        <v>0</v>
      </c>
    </row>
    <row r="68" spans="3:7" x14ac:dyDescent="0.2">
      <c r="C68">
        <f>TFP_dataset!F81</f>
        <v>2012</v>
      </c>
      <c r="D68" t="str">
        <f>TFP_dataset!D81</f>
        <v>AB Power</v>
      </c>
      <c r="E68" s="427">
        <f>TFP_dataset!R81</f>
        <v>2667009</v>
      </c>
      <c r="F68" s="427">
        <f>TFP_dataset!T81</f>
        <v>2667009</v>
      </c>
      <c r="G68" s="432">
        <f t="shared" si="0"/>
        <v>0</v>
      </c>
    </row>
    <row r="69" spans="3:7" x14ac:dyDescent="0.2">
      <c r="C69">
        <f>TFP_dataset!F82</f>
        <v>2013</v>
      </c>
      <c r="D69" t="str">
        <f>TFP_dataset!D82</f>
        <v>AB Power</v>
      </c>
      <c r="E69" s="427">
        <f>TFP_dataset!R82</f>
        <v>5624823</v>
      </c>
      <c r="F69" s="427">
        <f>TFP_dataset!T82</f>
        <v>5624823</v>
      </c>
      <c r="G69" s="432">
        <f t="shared" si="0"/>
        <v>0</v>
      </c>
    </row>
    <row r="70" spans="3:7" x14ac:dyDescent="0.2">
      <c r="C70">
        <f>TFP_dataset!F83</f>
        <v>2014</v>
      </c>
      <c r="D70" t="str">
        <f>TFP_dataset!D83</f>
        <v>AB Power</v>
      </c>
      <c r="E70" s="427">
        <f>TFP_dataset!R83</f>
        <v>3892917</v>
      </c>
      <c r="F70" s="427">
        <f>TFP_dataset!T83</f>
        <v>3892917</v>
      </c>
      <c r="G70" s="432">
        <f t="shared" si="0"/>
        <v>0</v>
      </c>
    </row>
    <row r="71" spans="3:7" x14ac:dyDescent="0.2">
      <c r="C71">
        <f>TFP_dataset!F84</f>
        <v>2002</v>
      </c>
      <c r="D71" t="str">
        <f>TFP_dataset!D84</f>
        <v>SoCal Edison</v>
      </c>
      <c r="E71" s="427">
        <f>TFP_dataset!R84</f>
        <v>3314009.7059999998</v>
      </c>
      <c r="F71" s="427">
        <f>TFP_dataset!T84</f>
        <v>3734948</v>
      </c>
      <c r="G71" s="432">
        <f t="shared" ref="G71:G134" si="5">E71-F71</f>
        <v>-420938.29400000023</v>
      </c>
    </row>
    <row r="72" spans="3:7" x14ac:dyDescent="0.2">
      <c r="C72">
        <f>TFP_dataset!F85</f>
        <v>2003</v>
      </c>
      <c r="D72" t="str">
        <f>TFP_dataset!D85</f>
        <v>SoCal Edison</v>
      </c>
      <c r="E72" s="427">
        <f>TFP_dataset!R85</f>
        <v>3802856.696</v>
      </c>
      <c r="F72" s="427">
        <f>TFP_dataset!T85</f>
        <v>4144822</v>
      </c>
      <c r="G72" s="432">
        <f t="shared" si="5"/>
        <v>-341965.304</v>
      </c>
    </row>
    <row r="73" spans="3:7" x14ac:dyDescent="0.2">
      <c r="C73">
        <f>TFP_dataset!F86</f>
        <v>2004</v>
      </c>
      <c r="D73" t="str">
        <f>TFP_dataset!D86</f>
        <v>SoCal Edison</v>
      </c>
      <c r="E73" s="427">
        <f>TFP_dataset!R86</f>
        <v>3347421.8939999999</v>
      </c>
      <c r="F73" s="427">
        <f>TFP_dataset!T86</f>
        <v>3625740</v>
      </c>
      <c r="G73" s="432">
        <f t="shared" si="5"/>
        <v>-278318.10600000015</v>
      </c>
    </row>
    <row r="74" spans="3:7" x14ac:dyDescent="0.2">
      <c r="C74">
        <f>TFP_dataset!F87</f>
        <v>2005</v>
      </c>
      <c r="D74" t="str">
        <f>TFP_dataset!D87</f>
        <v>SoCal Edison</v>
      </c>
      <c r="E74" s="427">
        <f>TFP_dataset!R87</f>
        <v>4821918</v>
      </c>
      <c r="F74" s="427">
        <f>TFP_dataset!T87</f>
        <v>5191449</v>
      </c>
      <c r="G74" s="432">
        <f t="shared" si="5"/>
        <v>-369531</v>
      </c>
    </row>
    <row r="75" spans="3:7" x14ac:dyDescent="0.2">
      <c r="C75">
        <f>TFP_dataset!F88</f>
        <v>2006</v>
      </c>
      <c r="D75" t="str">
        <f>TFP_dataset!D88</f>
        <v>SoCal Edison</v>
      </c>
      <c r="E75" s="427">
        <f>TFP_dataset!R88</f>
        <v>4773109.875</v>
      </c>
      <c r="F75" s="427">
        <f>TFP_dataset!T88</f>
        <v>5200974</v>
      </c>
      <c r="G75" s="432">
        <f t="shared" si="5"/>
        <v>-427864.125</v>
      </c>
    </row>
    <row r="76" spans="3:7" x14ac:dyDescent="0.2">
      <c r="C76">
        <f>TFP_dataset!F89</f>
        <v>2007</v>
      </c>
      <c r="D76" t="str">
        <f>TFP_dataset!D89</f>
        <v>SoCal Edison</v>
      </c>
      <c r="E76" s="427">
        <f>TFP_dataset!R89</f>
        <v>2448324.0580000002</v>
      </c>
      <c r="F76" s="427">
        <f>TFP_dataset!T89</f>
        <v>2609342</v>
      </c>
      <c r="G76" s="432">
        <f t="shared" si="5"/>
        <v>-161017.94199999981</v>
      </c>
    </row>
    <row r="77" spans="3:7" x14ac:dyDescent="0.2">
      <c r="C77">
        <f>TFP_dataset!F90</f>
        <v>2008</v>
      </c>
      <c r="D77" t="str">
        <f>TFP_dataset!D90</f>
        <v>SoCal Edison</v>
      </c>
      <c r="E77" s="427">
        <f>TFP_dataset!R90</f>
        <v>2455275.0950000002</v>
      </c>
      <c r="F77" s="427">
        <f>TFP_dataset!T90</f>
        <v>2665953</v>
      </c>
      <c r="G77" s="432">
        <f t="shared" si="5"/>
        <v>-210677.9049999998</v>
      </c>
    </row>
    <row r="78" spans="3:7" x14ac:dyDescent="0.2">
      <c r="C78">
        <f>TFP_dataset!F91</f>
        <v>2009</v>
      </c>
      <c r="D78" t="str">
        <f>TFP_dataset!D91</f>
        <v>SoCal Edison</v>
      </c>
      <c r="E78" s="427">
        <f>TFP_dataset!R91</f>
        <v>3568085.8340000003</v>
      </c>
      <c r="F78" s="427">
        <f>TFP_dataset!T91</f>
        <v>3828719</v>
      </c>
      <c r="G78" s="432">
        <f t="shared" si="5"/>
        <v>-260633.16599999974</v>
      </c>
    </row>
    <row r="79" spans="3:7" x14ac:dyDescent="0.2">
      <c r="C79">
        <f>TFP_dataset!F92</f>
        <v>2010</v>
      </c>
      <c r="D79" t="str">
        <f>TFP_dataset!D92</f>
        <v>SoCal Edison</v>
      </c>
      <c r="E79" s="427">
        <f>TFP_dataset!R92</f>
        <v>4105319.7109999997</v>
      </c>
      <c r="F79" s="427">
        <f>TFP_dataset!T92</f>
        <v>4398105</v>
      </c>
      <c r="G79" s="432">
        <f t="shared" si="5"/>
        <v>-292785.28900000034</v>
      </c>
    </row>
    <row r="80" spans="3:7" x14ac:dyDescent="0.2">
      <c r="C80">
        <f>TFP_dataset!F93</f>
        <v>2011</v>
      </c>
      <c r="D80" t="str">
        <f>TFP_dataset!D93</f>
        <v>SoCal Edison</v>
      </c>
      <c r="E80" s="427">
        <f>TFP_dataset!R93</f>
        <v>4603428.875</v>
      </c>
      <c r="F80" s="427">
        <f>TFP_dataset!T93</f>
        <v>4909772</v>
      </c>
      <c r="G80" s="432">
        <f t="shared" si="5"/>
        <v>-306343.125</v>
      </c>
    </row>
    <row r="81" spans="3:7" x14ac:dyDescent="0.2">
      <c r="C81">
        <f>TFP_dataset!F94</f>
        <v>2012</v>
      </c>
      <c r="D81" t="str">
        <f>TFP_dataset!D94</f>
        <v>SoCal Edison</v>
      </c>
      <c r="E81" s="427">
        <f>TFP_dataset!R94</f>
        <v>2625533.7859999998</v>
      </c>
      <c r="F81" s="427">
        <f>TFP_dataset!T94</f>
        <v>2823925</v>
      </c>
      <c r="G81" s="432">
        <f t="shared" si="5"/>
        <v>-198391.21400000015</v>
      </c>
    </row>
    <row r="82" spans="3:7" x14ac:dyDescent="0.2">
      <c r="C82">
        <f>TFP_dataset!F95</f>
        <v>2013</v>
      </c>
      <c r="D82" t="str">
        <f>TFP_dataset!D95</f>
        <v>SoCal Edison</v>
      </c>
      <c r="E82" s="427">
        <f>TFP_dataset!R95</f>
        <v>2254661.6510000001</v>
      </c>
      <c r="F82" s="427">
        <f>TFP_dataset!T95</f>
        <v>2401038</v>
      </c>
      <c r="G82" s="432">
        <f t="shared" si="5"/>
        <v>-146376.34899999993</v>
      </c>
    </row>
    <row r="83" spans="3:7" x14ac:dyDescent="0.2">
      <c r="C83">
        <f>TFP_dataset!F96</f>
        <v>2014</v>
      </c>
      <c r="D83" t="str">
        <f>TFP_dataset!D96</f>
        <v>SoCal Edison</v>
      </c>
      <c r="E83" s="427">
        <f>TFP_dataset!R96</f>
        <v>1543031.6359999999</v>
      </c>
      <c r="F83" s="427">
        <f>TFP_dataset!T96</f>
        <v>1672396</v>
      </c>
      <c r="G83" s="432">
        <f t="shared" si="5"/>
        <v>-129364.36400000006</v>
      </c>
    </row>
    <row r="84" spans="3:7" x14ac:dyDescent="0.2">
      <c r="C84">
        <f>TFP_dataset!F97</f>
        <v>2002</v>
      </c>
      <c r="D84" t="str">
        <f>TFP_dataset!D97</f>
        <v>GA Power</v>
      </c>
      <c r="E84" s="427">
        <f>TFP_dataset!R97</f>
        <v>1721153.338</v>
      </c>
      <c r="F84" s="427">
        <f>TFP_dataset!T97</f>
        <v>1781533</v>
      </c>
      <c r="G84" s="432">
        <f t="shared" si="5"/>
        <v>-60379.662000000011</v>
      </c>
    </row>
    <row r="85" spans="3:7" x14ac:dyDescent="0.2">
      <c r="C85">
        <f>TFP_dataset!F98</f>
        <v>2003</v>
      </c>
      <c r="D85" t="str">
        <f>TFP_dataset!D98</f>
        <v>GA Power</v>
      </c>
      <c r="E85" s="427">
        <f>TFP_dataset!R98</f>
        <v>2780953.9180000001</v>
      </c>
      <c r="F85" s="427">
        <f>TFP_dataset!T98</f>
        <v>2883453</v>
      </c>
      <c r="G85" s="432">
        <f t="shared" si="5"/>
        <v>-102499.08199999994</v>
      </c>
    </row>
    <row r="86" spans="3:7" x14ac:dyDescent="0.2">
      <c r="C86">
        <f>TFP_dataset!F99</f>
        <v>2004</v>
      </c>
      <c r="D86" t="str">
        <f>TFP_dataset!D99</f>
        <v>GA Power</v>
      </c>
      <c r="E86" s="427">
        <f>TFP_dataset!R99</f>
        <v>2215266</v>
      </c>
      <c r="F86" s="427">
        <f>TFP_dataset!T99</f>
        <v>2348845</v>
      </c>
      <c r="G86" s="432">
        <f t="shared" si="5"/>
        <v>-133579</v>
      </c>
    </row>
    <row r="87" spans="3:7" x14ac:dyDescent="0.2">
      <c r="C87">
        <f>TFP_dataset!F100</f>
        <v>2005</v>
      </c>
      <c r="D87" t="str">
        <f>TFP_dataset!D100</f>
        <v>GA Power</v>
      </c>
      <c r="E87" s="427">
        <f>TFP_dataset!R100</f>
        <v>2553623.523</v>
      </c>
      <c r="F87" s="427">
        <f>TFP_dataset!T100</f>
        <v>2631507</v>
      </c>
      <c r="G87" s="432">
        <f t="shared" si="5"/>
        <v>-77883.476999999955</v>
      </c>
    </row>
    <row r="88" spans="3:7" x14ac:dyDescent="0.2">
      <c r="C88">
        <f>TFP_dataset!F101</f>
        <v>2006</v>
      </c>
      <c r="D88" t="str">
        <f>TFP_dataset!D101</f>
        <v>GA Power</v>
      </c>
      <c r="E88" s="427">
        <f>TFP_dataset!R101</f>
        <v>1776363</v>
      </c>
      <c r="F88" s="427">
        <f>TFP_dataset!T101</f>
        <v>1830634</v>
      </c>
      <c r="G88" s="432">
        <f t="shared" si="5"/>
        <v>-54271</v>
      </c>
    </row>
    <row r="89" spans="3:7" x14ac:dyDescent="0.2">
      <c r="C89">
        <f>TFP_dataset!F102</f>
        <v>2007</v>
      </c>
      <c r="D89" t="str">
        <f>TFP_dataset!D102</f>
        <v>GA Power</v>
      </c>
      <c r="E89" s="427">
        <f>TFP_dataset!R102</f>
        <v>1426418</v>
      </c>
      <c r="F89" s="427">
        <f>TFP_dataset!T102</f>
        <v>1469929</v>
      </c>
      <c r="G89" s="432">
        <f t="shared" si="5"/>
        <v>-43511</v>
      </c>
    </row>
    <row r="90" spans="3:7" x14ac:dyDescent="0.2">
      <c r="C90">
        <f>TFP_dataset!F103</f>
        <v>2008</v>
      </c>
      <c r="D90" t="str">
        <f>TFP_dataset!D103</f>
        <v>GA Power</v>
      </c>
      <c r="E90" s="427">
        <f>TFP_dataset!R103</f>
        <v>1357464</v>
      </c>
      <c r="F90" s="427">
        <f>TFP_dataset!T103</f>
        <v>1406919</v>
      </c>
      <c r="G90" s="432">
        <f t="shared" si="5"/>
        <v>-49455</v>
      </c>
    </row>
    <row r="91" spans="3:7" x14ac:dyDescent="0.2">
      <c r="C91">
        <f>TFP_dataset!F104</f>
        <v>2009</v>
      </c>
      <c r="D91" t="str">
        <f>TFP_dataset!D104</f>
        <v>GA Power</v>
      </c>
      <c r="E91" s="427">
        <f>TFP_dataset!R104</f>
        <v>2441228</v>
      </c>
      <c r="F91" s="427">
        <f>TFP_dataset!T104</f>
        <v>2517092</v>
      </c>
      <c r="G91" s="432">
        <f t="shared" si="5"/>
        <v>-75864</v>
      </c>
    </row>
    <row r="92" spans="3:7" x14ac:dyDescent="0.2">
      <c r="C92">
        <f>TFP_dataset!F105</f>
        <v>2010</v>
      </c>
      <c r="D92" t="str">
        <f>TFP_dataset!D105</f>
        <v>GA Power</v>
      </c>
      <c r="E92" s="427">
        <f>TFP_dataset!R105</f>
        <v>2208567</v>
      </c>
      <c r="F92" s="427">
        <f>TFP_dataset!T105</f>
        <v>2264567</v>
      </c>
      <c r="G92" s="432">
        <f t="shared" si="5"/>
        <v>-56000</v>
      </c>
    </row>
    <row r="93" spans="3:7" x14ac:dyDescent="0.2">
      <c r="C93">
        <f>TFP_dataset!F106</f>
        <v>2011</v>
      </c>
      <c r="D93" t="str">
        <f>TFP_dataset!D106</f>
        <v>GA Power</v>
      </c>
      <c r="E93" s="427">
        <f>TFP_dataset!R106</f>
        <v>1761111</v>
      </c>
      <c r="F93" s="427">
        <f>TFP_dataset!T106</f>
        <v>1816470</v>
      </c>
      <c r="G93" s="432">
        <f t="shared" si="5"/>
        <v>-55359</v>
      </c>
    </row>
    <row r="94" spans="3:7" x14ac:dyDescent="0.2">
      <c r="C94">
        <f>TFP_dataset!F107</f>
        <v>2012</v>
      </c>
      <c r="D94" t="str">
        <f>TFP_dataset!D107</f>
        <v>GA Power</v>
      </c>
      <c r="E94" s="427">
        <f>TFP_dataset!R107</f>
        <v>1410378</v>
      </c>
      <c r="F94" s="427">
        <f>TFP_dataset!T107</f>
        <v>1455823</v>
      </c>
      <c r="G94" s="432">
        <f t="shared" si="5"/>
        <v>-45445</v>
      </c>
    </row>
    <row r="95" spans="3:7" x14ac:dyDescent="0.2">
      <c r="C95">
        <f>TFP_dataset!F108</f>
        <v>2013</v>
      </c>
      <c r="D95" t="str">
        <f>TFP_dataset!D108</f>
        <v>GA Power</v>
      </c>
      <c r="E95" s="427">
        <f>TFP_dataset!R108</f>
        <v>2336744</v>
      </c>
      <c r="F95" s="427">
        <f>TFP_dataset!T108</f>
        <v>2422809</v>
      </c>
      <c r="G95" s="432">
        <f t="shared" si="5"/>
        <v>-86065</v>
      </c>
    </row>
    <row r="96" spans="3:7" x14ac:dyDescent="0.2">
      <c r="C96">
        <f>TFP_dataset!F109</f>
        <v>2014</v>
      </c>
      <c r="D96" t="str">
        <f>TFP_dataset!D109</f>
        <v>GA Power</v>
      </c>
      <c r="E96" s="427">
        <f>TFP_dataset!R109</f>
        <v>1908307</v>
      </c>
      <c r="F96" s="427">
        <f>TFP_dataset!T109</f>
        <v>1965277</v>
      </c>
      <c r="G96" s="432">
        <f t="shared" si="5"/>
        <v>-56970</v>
      </c>
    </row>
    <row r="97" spans="3:7" x14ac:dyDescent="0.2">
      <c r="C97">
        <f>TFP_dataset!F110</f>
        <v>2002</v>
      </c>
      <c r="D97" t="str">
        <f>TFP_dataset!D110</f>
        <v>PacifiCorp</v>
      </c>
      <c r="E97" s="427">
        <f>TFP_dataset!R110</f>
        <v>3219922</v>
      </c>
      <c r="F97" s="427">
        <f>TFP_dataset!T110</f>
        <v>3601361</v>
      </c>
      <c r="G97" s="432">
        <f t="shared" si="5"/>
        <v>-381439</v>
      </c>
    </row>
    <row r="98" spans="3:7" x14ac:dyDescent="0.2">
      <c r="C98">
        <f>TFP_dataset!F111</f>
        <v>2003</v>
      </c>
      <c r="D98" t="str">
        <f>TFP_dataset!D111</f>
        <v>PacifiCorp</v>
      </c>
      <c r="E98" s="427">
        <f>TFP_dataset!R111</f>
        <v>3444668</v>
      </c>
      <c r="F98" s="427">
        <f>TFP_dataset!T111</f>
        <v>3771140</v>
      </c>
      <c r="G98" s="432">
        <f t="shared" si="5"/>
        <v>-326472</v>
      </c>
    </row>
    <row r="99" spans="3:7" x14ac:dyDescent="0.2">
      <c r="C99">
        <f>TFP_dataset!F112</f>
        <v>2004</v>
      </c>
      <c r="D99" t="str">
        <f>TFP_dataset!D112</f>
        <v>PacifiCorp</v>
      </c>
      <c r="E99" s="427">
        <f>TFP_dataset!R112</f>
        <v>3091170</v>
      </c>
      <c r="F99" s="427">
        <f>TFP_dataset!T112</f>
        <v>3421857</v>
      </c>
      <c r="G99" s="432">
        <f t="shared" si="5"/>
        <v>-330687</v>
      </c>
    </row>
    <row r="100" spans="3:7" x14ac:dyDescent="0.2">
      <c r="C100">
        <f>TFP_dataset!F113</f>
        <v>2005</v>
      </c>
      <c r="D100" t="str">
        <f>TFP_dataset!D113</f>
        <v>PacifiCorp</v>
      </c>
      <c r="E100" s="427">
        <f>TFP_dataset!R113</f>
        <v>2965117</v>
      </c>
      <c r="F100" s="427">
        <f>TFP_dataset!T113</f>
        <v>3272324</v>
      </c>
      <c r="G100" s="432">
        <f t="shared" si="5"/>
        <v>-307207</v>
      </c>
    </row>
    <row r="101" spans="3:7" x14ac:dyDescent="0.2">
      <c r="C101">
        <f>TFP_dataset!F114</f>
        <v>2006</v>
      </c>
      <c r="D101" t="str">
        <f>TFP_dataset!D114</f>
        <v>PacifiCorp</v>
      </c>
      <c r="E101" s="427">
        <f>TFP_dataset!R114</f>
        <v>4250197</v>
      </c>
      <c r="F101" s="427">
        <f>TFP_dataset!T114</f>
        <v>4620883</v>
      </c>
      <c r="G101" s="432">
        <f t="shared" si="5"/>
        <v>-370686</v>
      </c>
    </row>
    <row r="102" spans="3:7" x14ac:dyDescent="0.2">
      <c r="C102">
        <f>TFP_dataset!F115</f>
        <v>2007</v>
      </c>
      <c r="D102" t="str">
        <f>TFP_dataset!D115</f>
        <v>PacifiCorp</v>
      </c>
      <c r="E102" s="427">
        <f>TFP_dataset!R115</f>
        <v>3443624</v>
      </c>
      <c r="F102" s="427">
        <f>TFP_dataset!T115</f>
        <v>3743905</v>
      </c>
      <c r="G102" s="432">
        <f t="shared" si="5"/>
        <v>-300281</v>
      </c>
    </row>
    <row r="103" spans="3:7" x14ac:dyDescent="0.2">
      <c r="C103">
        <f>TFP_dataset!F116</f>
        <v>2008</v>
      </c>
      <c r="D103" t="str">
        <f>TFP_dataset!D116</f>
        <v>PacifiCorp</v>
      </c>
      <c r="E103" s="427">
        <f>TFP_dataset!R116</f>
        <v>3441159</v>
      </c>
      <c r="F103" s="427">
        <f>TFP_dataset!T116</f>
        <v>3766657</v>
      </c>
      <c r="G103" s="432">
        <f t="shared" si="5"/>
        <v>-325498</v>
      </c>
    </row>
    <row r="104" spans="3:7" x14ac:dyDescent="0.2">
      <c r="C104">
        <f>TFP_dataset!F117</f>
        <v>2009</v>
      </c>
      <c r="D104" t="str">
        <f>TFP_dataset!D117</f>
        <v>PacifiCorp</v>
      </c>
      <c r="E104" s="427">
        <f>TFP_dataset!R117</f>
        <v>3213992</v>
      </c>
      <c r="F104" s="427">
        <f>TFP_dataset!T117</f>
        <v>3544418</v>
      </c>
      <c r="G104" s="432">
        <f t="shared" si="5"/>
        <v>-330426</v>
      </c>
    </row>
    <row r="105" spans="3:7" x14ac:dyDescent="0.2">
      <c r="C105">
        <f>TFP_dataset!F118</f>
        <v>2010</v>
      </c>
      <c r="D105" t="str">
        <f>TFP_dataset!D118</f>
        <v>PacifiCorp</v>
      </c>
      <c r="E105" s="427">
        <f>TFP_dataset!R118</f>
        <v>3435392</v>
      </c>
      <c r="F105" s="427">
        <f>TFP_dataset!T118</f>
        <v>3745524</v>
      </c>
      <c r="G105" s="432">
        <f t="shared" si="5"/>
        <v>-310132</v>
      </c>
    </row>
    <row r="106" spans="3:7" x14ac:dyDescent="0.2">
      <c r="C106">
        <f>TFP_dataset!F119</f>
        <v>2011</v>
      </c>
      <c r="D106" t="str">
        <f>TFP_dataset!D119</f>
        <v>PacifiCorp</v>
      </c>
      <c r="E106" s="427">
        <f>TFP_dataset!R119</f>
        <v>4339268</v>
      </c>
      <c r="F106" s="427">
        <f>TFP_dataset!T119</f>
        <v>4685004</v>
      </c>
      <c r="G106" s="432">
        <f t="shared" si="5"/>
        <v>-345736</v>
      </c>
    </row>
    <row r="107" spans="3:7" x14ac:dyDescent="0.2">
      <c r="C107">
        <f>TFP_dataset!F120</f>
        <v>2012</v>
      </c>
      <c r="D107" t="str">
        <f>TFP_dataset!D120</f>
        <v>PacifiCorp</v>
      </c>
      <c r="E107" s="427">
        <f>TFP_dataset!R120</f>
        <v>4080847</v>
      </c>
      <c r="F107" s="427">
        <f>TFP_dataset!T120</f>
        <v>4264288</v>
      </c>
      <c r="G107" s="432">
        <f t="shared" si="5"/>
        <v>-183441</v>
      </c>
    </row>
    <row r="108" spans="3:7" x14ac:dyDescent="0.2">
      <c r="C108">
        <f>TFP_dataset!F121</f>
        <v>2013</v>
      </c>
      <c r="D108" t="str">
        <f>TFP_dataset!D121</f>
        <v>PacifiCorp</v>
      </c>
      <c r="E108" s="427">
        <f>TFP_dataset!R121</f>
        <v>2976700</v>
      </c>
      <c r="F108" s="427">
        <f>TFP_dataset!T121</f>
        <v>3167941</v>
      </c>
      <c r="G108" s="432">
        <f t="shared" si="5"/>
        <v>-191241</v>
      </c>
    </row>
    <row r="109" spans="3:7" x14ac:dyDescent="0.2">
      <c r="C109">
        <f>TFP_dataset!F122</f>
        <v>2014</v>
      </c>
      <c r="D109" t="str">
        <f>TFP_dataset!D122</f>
        <v>PacifiCorp</v>
      </c>
      <c r="E109" s="427">
        <f>TFP_dataset!R122</f>
        <v>3595400</v>
      </c>
      <c r="F109" s="427">
        <f>TFP_dataset!T122</f>
        <v>3784143</v>
      </c>
      <c r="G109" s="432">
        <f t="shared" si="5"/>
        <v>-188743</v>
      </c>
    </row>
    <row r="110" spans="3:7" x14ac:dyDescent="0.2">
      <c r="C110">
        <f>TFP_dataset!F123</f>
        <v>2002</v>
      </c>
      <c r="D110" t="str">
        <f>TFP_dataset!D123</f>
        <v>Avista</v>
      </c>
      <c r="E110" s="427">
        <f>TFP_dataset!R123</f>
        <v>4009637</v>
      </c>
      <c r="F110" s="427">
        <f>TFP_dataset!T123</f>
        <v>4009637</v>
      </c>
      <c r="G110" s="432">
        <f t="shared" si="5"/>
        <v>0</v>
      </c>
    </row>
    <row r="111" spans="3:7" x14ac:dyDescent="0.2">
      <c r="C111">
        <f>TFP_dataset!F124</f>
        <v>2003</v>
      </c>
      <c r="D111" t="str">
        <f>TFP_dataset!D124</f>
        <v>Avista</v>
      </c>
      <c r="E111" s="427">
        <f>TFP_dataset!R124</f>
        <v>3539611</v>
      </c>
      <c r="F111" s="427">
        <f>TFP_dataset!T124</f>
        <v>3539611</v>
      </c>
      <c r="G111" s="432">
        <f t="shared" si="5"/>
        <v>0</v>
      </c>
    </row>
    <row r="112" spans="3:7" x14ac:dyDescent="0.2">
      <c r="C112">
        <f>TFP_dataset!F125</f>
        <v>2004</v>
      </c>
      <c r="D112" t="str">
        <f>TFP_dataset!D125</f>
        <v>Avista</v>
      </c>
      <c r="E112" s="427">
        <f>TFP_dataset!R125</f>
        <v>3789043</v>
      </c>
      <c r="F112" s="427">
        <f>TFP_dataset!T125</f>
        <v>3789045</v>
      </c>
      <c r="G112" s="432">
        <f t="shared" si="5"/>
        <v>-2</v>
      </c>
    </row>
    <row r="113" spans="3:7" x14ac:dyDescent="0.2">
      <c r="C113">
        <f>TFP_dataset!F126</f>
        <v>2005</v>
      </c>
      <c r="D113" t="str">
        <f>TFP_dataset!D126</f>
        <v>Avista</v>
      </c>
      <c r="E113" s="427">
        <f>TFP_dataset!R126</f>
        <v>3610823</v>
      </c>
      <c r="F113" s="427">
        <f>TFP_dataset!T126</f>
        <v>3610823</v>
      </c>
      <c r="G113" s="432">
        <f t="shared" si="5"/>
        <v>0</v>
      </c>
    </row>
    <row r="114" spans="3:7" x14ac:dyDescent="0.2">
      <c r="C114">
        <f>TFP_dataset!F127</f>
        <v>2006</v>
      </c>
      <c r="D114" t="str">
        <f>TFP_dataset!D127</f>
        <v>Avista</v>
      </c>
      <c r="E114" s="427">
        <f>TFP_dataset!R127</f>
        <v>4127672</v>
      </c>
      <c r="F114" s="427">
        <f>TFP_dataset!T127</f>
        <v>4127672</v>
      </c>
      <c r="G114" s="432">
        <f t="shared" si="5"/>
        <v>0</v>
      </c>
    </row>
    <row r="115" spans="3:7" x14ac:dyDescent="0.2">
      <c r="C115">
        <f>TFP_dataset!F128</f>
        <v>2007</v>
      </c>
      <c r="D115" t="str">
        <f>TFP_dataset!D128</f>
        <v>Avista</v>
      </c>
      <c r="E115" s="427">
        <f>TFP_dataset!R128</f>
        <v>3688791</v>
      </c>
      <c r="F115" s="427">
        <f>TFP_dataset!T128</f>
        <v>3688791</v>
      </c>
      <c r="G115" s="432">
        <f t="shared" si="5"/>
        <v>0</v>
      </c>
    </row>
    <row r="116" spans="3:7" x14ac:dyDescent="0.2">
      <c r="C116">
        <f>TFP_dataset!F129</f>
        <v>2008</v>
      </c>
      <c r="D116" t="str">
        <f>TFP_dataset!D129</f>
        <v>Avista</v>
      </c>
      <c r="E116" s="427">
        <f>TFP_dataset!R129</f>
        <v>3851251</v>
      </c>
      <c r="F116" s="427">
        <f>TFP_dataset!T129</f>
        <v>3851251</v>
      </c>
      <c r="G116" s="432">
        <f t="shared" si="5"/>
        <v>0</v>
      </c>
    </row>
    <row r="117" spans="3:7" x14ac:dyDescent="0.2">
      <c r="C117">
        <f>TFP_dataset!F130</f>
        <v>2009</v>
      </c>
      <c r="D117" t="str">
        <f>TFP_dataset!D130</f>
        <v>Avista</v>
      </c>
      <c r="E117" s="427">
        <f>TFP_dataset!R130</f>
        <v>3765761</v>
      </c>
      <c r="F117" s="427">
        <f>TFP_dataset!T130</f>
        <v>3765761</v>
      </c>
      <c r="G117" s="432">
        <f t="shared" si="5"/>
        <v>0</v>
      </c>
    </row>
    <row r="118" spans="3:7" x14ac:dyDescent="0.2">
      <c r="C118">
        <f>TFP_dataset!F131</f>
        <v>2010</v>
      </c>
      <c r="D118" t="str">
        <f>TFP_dataset!D131</f>
        <v>Avista</v>
      </c>
      <c r="E118" s="427">
        <f>TFP_dataset!R131</f>
        <v>3493588</v>
      </c>
      <c r="F118" s="427">
        <f>TFP_dataset!T131</f>
        <v>3493588</v>
      </c>
      <c r="G118" s="432">
        <f t="shared" si="5"/>
        <v>0</v>
      </c>
    </row>
    <row r="119" spans="3:7" x14ac:dyDescent="0.2">
      <c r="C119">
        <f>TFP_dataset!F132</f>
        <v>2011</v>
      </c>
      <c r="D119" t="str">
        <f>TFP_dataset!D132</f>
        <v>Avista</v>
      </c>
      <c r="E119" s="427">
        <f>TFP_dataset!R132</f>
        <v>4534293</v>
      </c>
      <c r="F119" s="427">
        <f>TFP_dataset!T132</f>
        <v>4534293</v>
      </c>
      <c r="G119" s="432">
        <f t="shared" si="5"/>
        <v>0</v>
      </c>
    </row>
    <row r="120" spans="3:7" x14ac:dyDescent="0.2">
      <c r="C120">
        <f>TFP_dataset!F133</f>
        <v>2012</v>
      </c>
      <c r="D120" t="str">
        <f>TFP_dataset!D133</f>
        <v>Avista</v>
      </c>
      <c r="E120" s="427">
        <f>TFP_dataset!R133</f>
        <v>4088289</v>
      </c>
      <c r="F120" s="427">
        <f>TFP_dataset!T133</f>
        <v>4088289</v>
      </c>
      <c r="G120" s="432">
        <f t="shared" si="5"/>
        <v>0</v>
      </c>
    </row>
    <row r="121" spans="3:7" x14ac:dyDescent="0.2">
      <c r="C121">
        <f>TFP_dataset!F134</f>
        <v>2013</v>
      </c>
      <c r="D121" t="str">
        <f>TFP_dataset!D134</f>
        <v>Avista</v>
      </c>
      <c r="E121" s="427">
        <f>TFP_dataset!R134</f>
        <v>3645832</v>
      </c>
      <c r="F121" s="427">
        <f>TFP_dataset!T134</f>
        <v>3645832</v>
      </c>
      <c r="G121" s="432">
        <f t="shared" si="5"/>
        <v>0</v>
      </c>
    </row>
    <row r="122" spans="3:7" x14ac:dyDescent="0.2">
      <c r="C122">
        <f>TFP_dataset!F135</f>
        <v>2014</v>
      </c>
      <c r="D122" t="str">
        <f>TFP_dataset!D135</f>
        <v>Avista</v>
      </c>
      <c r="E122" s="427">
        <f>TFP_dataset!R135</f>
        <v>4143307</v>
      </c>
      <c r="F122" s="427">
        <f>TFP_dataset!T135</f>
        <v>4143307</v>
      </c>
      <c r="G122" s="432">
        <f t="shared" si="5"/>
        <v>0</v>
      </c>
    </row>
    <row r="123" spans="3:7" x14ac:dyDescent="0.2">
      <c r="C123">
        <f>TFP_dataset!F136</f>
        <v>2002</v>
      </c>
      <c r="D123" t="str">
        <f>TFP_dataset!D136</f>
        <v>Portland</v>
      </c>
      <c r="E123" s="427">
        <f>TFP_dataset!R136</f>
        <v>3066765</v>
      </c>
      <c r="F123" s="427">
        <f>TFP_dataset!T136</f>
        <v>1760192</v>
      </c>
      <c r="G123" s="432">
        <f t="shared" si="5"/>
        <v>1306573</v>
      </c>
    </row>
    <row r="124" spans="3:7" x14ac:dyDescent="0.2">
      <c r="C124">
        <f>TFP_dataset!F137</f>
        <v>2003</v>
      </c>
      <c r="D124" t="str">
        <f>TFP_dataset!D137</f>
        <v>Portland</v>
      </c>
      <c r="E124" s="427">
        <f>TFP_dataset!R137</f>
        <v>3019577</v>
      </c>
      <c r="F124" s="427">
        <f>TFP_dataset!T137</f>
        <v>1725678</v>
      </c>
      <c r="G124" s="432">
        <f t="shared" si="5"/>
        <v>1293899</v>
      </c>
    </row>
    <row r="125" spans="3:7" x14ac:dyDescent="0.2">
      <c r="C125">
        <f>TFP_dataset!F138</f>
        <v>2004</v>
      </c>
      <c r="D125" t="str">
        <f>TFP_dataset!D138</f>
        <v>Portland</v>
      </c>
      <c r="E125" s="427">
        <f>TFP_dataset!R138</f>
        <v>3097850</v>
      </c>
      <c r="F125" s="427">
        <f>TFP_dataset!T138</f>
        <v>1728452</v>
      </c>
      <c r="G125" s="432">
        <f t="shared" si="5"/>
        <v>1369398</v>
      </c>
    </row>
    <row r="126" spans="3:7" x14ac:dyDescent="0.2">
      <c r="C126">
        <f>TFP_dataset!F139</f>
        <v>2005</v>
      </c>
      <c r="D126" t="str">
        <f>TFP_dataset!D139</f>
        <v>Portland</v>
      </c>
      <c r="E126" s="427">
        <f>TFP_dataset!R139</f>
        <v>2837546</v>
      </c>
      <c r="F126" s="427">
        <f>TFP_dataset!T139</f>
        <v>1566068</v>
      </c>
      <c r="G126" s="432">
        <f t="shared" si="5"/>
        <v>1271478</v>
      </c>
    </row>
    <row r="127" spans="3:7" x14ac:dyDescent="0.2">
      <c r="C127">
        <f>TFP_dataset!F140</f>
        <v>2006</v>
      </c>
      <c r="D127" t="str">
        <f>TFP_dataset!D140</f>
        <v>Portland</v>
      </c>
      <c r="E127" s="427">
        <f>TFP_dataset!R140</f>
        <v>3605566</v>
      </c>
      <c r="F127" s="427">
        <f>TFP_dataset!T140</f>
        <v>2001752</v>
      </c>
      <c r="G127" s="432">
        <f t="shared" si="5"/>
        <v>1603814</v>
      </c>
    </row>
    <row r="128" spans="3:7" x14ac:dyDescent="0.2">
      <c r="C128">
        <f>TFP_dataset!F141</f>
        <v>2007</v>
      </c>
      <c r="D128" t="str">
        <f>TFP_dataset!D141</f>
        <v>Portland</v>
      </c>
      <c r="E128" s="427">
        <f>TFP_dataset!R141</f>
        <v>3183332</v>
      </c>
      <c r="F128" s="427">
        <f>TFP_dataset!T141</f>
        <v>1802042</v>
      </c>
      <c r="G128" s="432">
        <f t="shared" si="5"/>
        <v>1381290</v>
      </c>
    </row>
    <row r="129" spans="3:7" x14ac:dyDescent="0.2">
      <c r="C129">
        <f>TFP_dataset!F142</f>
        <v>2008</v>
      </c>
      <c r="D129" t="str">
        <f>TFP_dataset!D142</f>
        <v>Portland</v>
      </c>
      <c r="E129" s="427">
        <f>TFP_dataset!R142</f>
        <v>3202085</v>
      </c>
      <c r="F129" s="427">
        <f>TFP_dataset!T142</f>
        <v>1822107</v>
      </c>
      <c r="G129" s="432">
        <f t="shared" si="5"/>
        <v>1379978</v>
      </c>
    </row>
    <row r="130" spans="3:7" x14ac:dyDescent="0.2">
      <c r="C130">
        <f>TFP_dataset!F143</f>
        <v>2009</v>
      </c>
      <c r="D130" t="str">
        <f>TFP_dataset!D143</f>
        <v>Portland</v>
      </c>
      <c r="E130" s="427">
        <f>TFP_dataset!R143</f>
        <v>3191546</v>
      </c>
      <c r="F130" s="427">
        <f>TFP_dataset!T143</f>
        <v>1800401</v>
      </c>
      <c r="G130" s="432">
        <f t="shared" si="5"/>
        <v>1391145</v>
      </c>
    </row>
    <row r="131" spans="3:7" x14ac:dyDescent="0.2">
      <c r="C131">
        <f>TFP_dataset!F144</f>
        <v>2010</v>
      </c>
      <c r="D131" t="str">
        <f>TFP_dataset!D144</f>
        <v>Portland</v>
      </c>
      <c r="E131" s="427">
        <f>TFP_dataset!R144</f>
        <v>3254776</v>
      </c>
      <c r="F131" s="427">
        <f>TFP_dataset!T144</f>
        <v>1829898</v>
      </c>
      <c r="G131" s="432">
        <f t="shared" si="5"/>
        <v>1424878</v>
      </c>
    </row>
    <row r="132" spans="3:7" x14ac:dyDescent="0.2">
      <c r="C132">
        <f>TFP_dataset!F145</f>
        <v>2011</v>
      </c>
      <c r="D132" t="str">
        <f>TFP_dataset!D145</f>
        <v>Portland</v>
      </c>
      <c r="E132" s="427">
        <f>TFP_dataset!R145</f>
        <v>3521657</v>
      </c>
      <c r="F132" s="427">
        <f>TFP_dataset!T145</f>
        <v>1932996</v>
      </c>
      <c r="G132" s="432">
        <f t="shared" si="5"/>
        <v>1588661</v>
      </c>
    </row>
    <row r="133" spans="3:7" x14ac:dyDescent="0.2">
      <c r="C133">
        <f>TFP_dataset!F146</f>
        <v>2012</v>
      </c>
      <c r="D133" t="str">
        <f>TFP_dataset!D146</f>
        <v>Portland</v>
      </c>
      <c r="E133" s="427">
        <f>TFP_dataset!R146</f>
        <v>3462116</v>
      </c>
      <c r="F133" s="427">
        <f>TFP_dataset!T146</f>
        <v>1942761</v>
      </c>
      <c r="G133" s="432">
        <f t="shared" si="5"/>
        <v>1519355</v>
      </c>
    </row>
    <row r="134" spans="3:7" x14ac:dyDescent="0.2">
      <c r="C134">
        <f>TFP_dataset!F147</f>
        <v>2013</v>
      </c>
      <c r="D134" t="str">
        <f>TFP_dataset!D147</f>
        <v>Portland</v>
      </c>
      <c r="E134" s="427">
        <f>TFP_dataset!R147</f>
        <v>3001760</v>
      </c>
      <c r="F134" s="427">
        <f>TFP_dataset!T147</f>
        <v>1646105</v>
      </c>
      <c r="G134" s="432">
        <f t="shared" si="5"/>
        <v>1355655</v>
      </c>
    </row>
    <row r="135" spans="3:7" x14ac:dyDescent="0.2">
      <c r="C135">
        <f>TFP_dataset!F148</f>
        <v>2014</v>
      </c>
      <c r="D135" t="str">
        <f>TFP_dataset!D148</f>
        <v>Portland</v>
      </c>
      <c r="E135" s="427">
        <f>TFP_dataset!R148</f>
        <v>3165690</v>
      </c>
      <c r="F135" s="427">
        <f>TFP_dataset!T148</f>
        <v>1750572</v>
      </c>
      <c r="G135" s="432">
        <f t="shared" ref="G135:G174" si="6">E135-F135</f>
        <v>1415118</v>
      </c>
    </row>
    <row r="136" spans="3:7" x14ac:dyDescent="0.2">
      <c r="C136">
        <f>TFP_dataset!F149</f>
        <v>2002</v>
      </c>
      <c r="D136" t="str">
        <f>TFP_dataset!D149</f>
        <v>Ameren MI - Union</v>
      </c>
      <c r="E136" s="427">
        <f>TFP_dataset!R149</f>
        <v>1767529</v>
      </c>
      <c r="F136" s="427">
        <f>TFP_dataset!T149</f>
        <v>1767529</v>
      </c>
      <c r="G136" s="432">
        <f t="shared" si="6"/>
        <v>0</v>
      </c>
    </row>
    <row r="137" spans="3:7" x14ac:dyDescent="0.2">
      <c r="C137">
        <f>TFP_dataset!F150</f>
        <v>2003</v>
      </c>
      <c r="D137" t="str">
        <f>TFP_dataset!D150</f>
        <v>Ameren MI - Union</v>
      </c>
      <c r="E137" s="427">
        <f>TFP_dataset!R150</f>
        <v>1461441</v>
      </c>
      <c r="F137" s="427">
        <f>TFP_dataset!T150</f>
        <v>1461441</v>
      </c>
      <c r="G137" s="432">
        <f t="shared" si="6"/>
        <v>0</v>
      </c>
    </row>
    <row r="138" spans="3:7" x14ac:dyDescent="0.2">
      <c r="C138">
        <f>TFP_dataset!F151</f>
        <v>2004</v>
      </c>
      <c r="D138" t="str">
        <f>TFP_dataset!D151</f>
        <v>Ameren MI - Union</v>
      </c>
      <c r="E138" s="427">
        <f>TFP_dataset!R151</f>
        <v>2088127</v>
      </c>
      <c r="F138" s="427">
        <f>TFP_dataset!T151</f>
        <v>2088127</v>
      </c>
      <c r="G138" s="432">
        <f t="shared" si="6"/>
        <v>0</v>
      </c>
    </row>
    <row r="139" spans="3:7" x14ac:dyDescent="0.2">
      <c r="C139">
        <f>TFP_dataset!F152</f>
        <v>2005</v>
      </c>
      <c r="D139" t="str">
        <f>TFP_dataset!D152</f>
        <v>Ameren MI - Union</v>
      </c>
      <c r="E139" s="427">
        <f>TFP_dataset!R152</f>
        <v>2063631</v>
      </c>
      <c r="F139" s="427">
        <f>TFP_dataset!T152</f>
        <v>1956646</v>
      </c>
      <c r="G139" s="432">
        <f t="shared" si="6"/>
        <v>106985</v>
      </c>
    </row>
    <row r="140" spans="3:7" x14ac:dyDescent="0.2">
      <c r="C140">
        <f>TFP_dataset!F153</f>
        <v>2006</v>
      </c>
      <c r="D140" t="str">
        <f>TFP_dataset!D153</f>
        <v>Ameren MI - Union</v>
      </c>
      <c r="E140" s="427">
        <f>TFP_dataset!R153</f>
        <v>955563</v>
      </c>
      <c r="F140" s="427">
        <f>TFP_dataset!T153</f>
        <v>955563</v>
      </c>
      <c r="G140" s="432">
        <f t="shared" si="6"/>
        <v>0</v>
      </c>
    </row>
    <row r="141" spans="3:7" x14ac:dyDescent="0.2">
      <c r="C141">
        <f>TFP_dataset!F154</f>
        <v>2007</v>
      </c>
      <c r="D141" t="str">
        <f>TFP_dataset!D154</f>
        <v>Ameren MI - Union</v>
      </c>
      <c r="E141" s="427">
        <f>TFP_dataset!R154</f>
        <v>1591900</v>
      </c>
      <c r="F141" s="427">
        <f>TFP_dataset!T154</f>
        <v>1591899</v>
      </c>
      <c r="G141" s="432">
        <f t="shared" si="6"/>
        <v>1</v>
      </c>
    </row>
    <row r="142" spans="3:7" x14ac:dyDescent="0.2">
      <c r="C142">
        <f>TFP_dataset!F155</f>
        <v>2008</v>
      </c>
      <c r="D142" t="str">
        <f>TFP_dataset!D155</f>
        <v>Ameren MI - Union</v>
      </c>
      <c r="E142" s="427">
        <f>TFP_dataset!R155</f>
        <v>1748285</v>
      </c>
      <c r="F142" s="427">
        <f>TFP_dataset!T155</f>
        <v>1748285</v>
      </c>
      <c r="G142" s="432">
        <f t="shared" si="6"/>
        <v>0</v>
      </c>
    </row>
    <row r="143" spans="3:7" x14ac:dyDescent="0.2">
      <c r="C143">
        <f>TFP_dataset!F156</f>
        <v>2009</v>
      </c>
      <c r="D143" t="str">
        <f>TFP_dataset!D156</f>
        <v>Ameren MI - Union</v>
      </c>
      <c r="E143" s="427">
        <f>TFP_dataset!R156</f>
        <v>1902961</v>
      </c>
      <c r="F143" s="427">
        <f>TFP_dataset!T156</f>
        <v>1902961</v>
      </c>
      <c r="G143" s="432">
        <f t="shared" si="6"/>
        <v>0</v>
      </c>
    </row>
    <row r="144" spans="3:7" x14ac:dyDescent="0.2">
      <c r="C144">
        <f>TFP_dataset!F157</f>
        <v>2010</v>
      </c>
      <c r="D144" t="str">
        <f>TFP_dataset!D157</f>
        <v>Ameren MI - Union</v>
      </c>
      <c r="E144" s="427">
        <f>TFP_dataset!R157</f>
        <v>2152401</v>
      </c>
      <c r="F144" s="427">
        <f>TFP_dataset!T157</f>
        <v>1575481</v>
      </c>
      <c r="G144" s="432">
        <f t="shared" si="6"/>
        <v>576920</v>
      </c>
    </row>
    <row r="145" spans="3:7" x14ac:dyDescent="0.2">
      <c r="C145">
        <f>TFP_dataset!F158</f>
        <v>2011</v>
      </c>
      <c r="D145" t="str">
        <f>TFP_dataset!D158</f>
        <v>Ameren MI - Union</v>
      </c>
      <c r="E145" s="427">
        <f>TFP_dataset!R158</f>
        <v>1755836</v>
      </c>
      <c r="F145" s="427">
        <f>TFP_dataset!T158</f>
        <v>1755836</v>
      </c>
      <c r="G145" s="432">
        <f t="shared" si="6"/>
        <v>0</v>
      </c>
    </row>
    <row r="146" spans="3:7" x14ac:dyDescent="0.2">
      <c r="C146">
        <f>TFP_dataset!F159</f>
        <v>2012</v>
      </c>
      <c r="D146" t="str">
        <f>TFP_dataset!D159</f>
        <v>Ameren MI - Union</v>
      </c>
      <c r="E146" s="427">
        <f>TFP_dataset!R159</f>
        <v>1317309</v>
      </c>
      <c r="F146" s="427">
        <f>TFP_dataset!T159</f>
        <v>1317309</v>
      </c>
      <c r="G146" s="432">
        <f t="shared" si="6"/>
        <v>0</v>
      </c>
    </row>
    <row r="147" spans="3:7" x14ac:dyDescent="0.2">
      <c r="C147">
        <f>TFP_dataset!F160</f>
        <v>2013</v>
      </c>
      <c r="D147" t="str">
        <f>TFP_dataset!D160</f>
        <v>Ameren MI - Union</v>
      </c>
      <c r="E147" s="427">
        <f>TFP_dataset!R160</f>
        <v>1667070</v>
      </c>
      <c r="F147" s="427">
        <f>TFP_dataset!T160</f>
        <v>1667070</v>
      </c>
      <c r="G147" s="432">
        <f t="shared" si="6"/>
        <v>0</v>
      </c>
    </row>
    <row r="148" spans="3:7" x14ac:dyDescent="0.2">
      <c r="C148">
        <f>TFP_dataset!F161</f>
        <v>2014</v>
      </c>
      <c r="D148" t="str">
        <f>TFP_dataset!D161</f>
        <v>Ameren MI - Union</v>
      </c>
      <c r="E148" s="427">
        <f>TFP_dataset!R161</f>
        <v>1433513</v>
      </c>
      <c r="F148" s="427">
        <f>TFP_dataset!T161</f>
        <v>1433513</v>
      </c>
      <c r="G148" s="432">
        <f t="shared" si="6"/>
        <v>0</v>
      </c>
    </row>
    <row r="149" spans="3:7" x14ac:dyDescent="0.2">
      <c r="C149">
        <f>TFP_dataset!F162</f>
        <v>2002</v>
      </c>
      <c r="D149" t="str">
        <f>TFP_dataset!D162</f>
        <v>AP Power</v>
      </c>
      <c r="E149" s="427">
        <f>TFP_dataset!R162</f>
        <v>976826</v>
      </c>
      <c r="F149" s="427">
        <f>TFP_dataset!T162</f>
        <v>1010746</v>
      </c>
      <c r="G149" s="432">
        <f t="shared" si="6"/>
        <v>-33920</v>
      </c>
    </row>
    <row r="150" spans="3:7" x14ac:dyDescent="0.2">
      <c r="C150">
        <f>TFP_dataset!F163</f>
        <v>2003</v>
      </c>
      <c r="D150" t="str">
        <f>TFP_dataset!D163</f>
        <v>AP Power</v>
      </c>
      <c r="E150" s="427">
        <f>TFP_dataset!R163</f>
        <v>1503131</v>
      </c>
      <c r="F150" s="427">
        <f>TFP_dataset!T163</f>
        <v>1564134</v>
      </c>
      <c r="G150" s="432">
        <f t="shared" si="6"/>
        <v>-61003</v>
      </c>
    </row>
    <row r="151" spans="3:7" x14ac:dyDescent="0.2">
      <c r="C151">
        <f>TFP_dataset!F164</f>
        <v>2004</v>
      </c>
      <c r="D151" t="str">
        <f>TFP_dataset!D164</f>
        <v>AP Power</v>
      </c>
      <c r="E151" s="427">
        <f>TFP_dataset!R164</f>
        <v>1312878</v>
      </c>
      <c r="F151" s="427">
        <f>TFP_dataset!T164</f>
        <v>1364725</v>
      </c>
      <c r="G151" s="432">
        <f t="shared" si="6"/>
        <v>-51847</v>
      </c>
    </row>
    <row r="152" spans="3:7" x14ac:dyDescent="0.2">
      <c r="C152">
        <f>TFP_dataset!F165</f>
        <v>2005</v>
      </c>
      <c r="D152" t="str">
        <f>TFP_dataset!D165</f>
        <v>AP Power</v>
      </c>
      <c r="E152" s="427">
        <f>TFP_dataset!R165</f>
        <v>1307560</v>
      </c>
      <c r="F152" s="427">
        <f>TFP_dataset!T165</f>
        <v>1360662</v>
      </c>
      <c r="G152" s="432">
        <f t="shared" si="6"/>
        <v>-53102</v>
      </c>
    </row>
    <row r="153" spans="3:7" x14ac:dyDescent="0.2">
      <c r="C153">
        <f>TFP_dataset!F166</f>
        <v>2006</v>
      </c>
      <c r="D153" t="str">
        <f>TFP_dataset!D166</f>
        <v>AP Power</v>
      </c>
      <c r="E153" s="427">
        <f>TFP_dataset!R166</f>
        <v>1235977</v>
      </c>
      <c r="F153" s="427">
        <f>TFP_dataset!T166</f>
        <v>1281707</v>
      </c>
      <c r="G153" s="432">
        <f t="shared" si="6"/>
        <v>-45730</v>
      </c>
    </row>
    <row r="154" spans="3:7" x14ac:dyDescent="0.2">
      <c r="C154">
        <f>TFP_dataset!F167</f>
        <v>2007</v>
      </c>
      <c r="D154" t="str">
        <f>TFP_dataset!D167</f>
        <v>AP Power</v>
      </c>
      <c r="E154" s="427">
        <f>TFP_dataset!R167</f>
        <v>1169116</v>
      </c>
      <c r="F154" s="427">
        <f>TFP_dataset!T167</f>
        <v>1206664</v>
      </c>
      <c r="G154" s="432">
        <f t="shared" si="6"/>
        <v>-37548</v>
      </c>
    </row>
    <row r="155" spans="3:7" x14ac:dyDescent="0.2">
      <c r="C155">
        <f>TFP_dataset!F168</f>
        <v>2008</v>
      </c>
      <c r="D155" t="str">
        <f>TFP_dataset!D168</f>
        <v>AP Power</v>
      </c>
      <c r="E155" s="427">
        <f>TFP_dataset!R168</f>
        <v>1056804</v>
      </c>
      <c r="F155" s="427">
        <f>TFP_dataset!T168</f>
        <v>1087886</v>
      </c>
      <c r="G155" s="432">
        <f t="shared" si="6"/>
        <v>-31082</v>
      </c>
    </row>
    <row r="156" spans="3:7" x14ac:dyDescent="0.2">
      <c r="C156">
        <f>TFP_dataset!F169</f>
        <v>2009</v>
      </c>
      <c r="D156" t="str">
        <f>TFP_dataset!D169</f>
        <v>AP Power</v>
      </c>
      <c r="E156" s="427">
        <f>TFP_dataset!R169</f>
        <v>1201289</v>
      </c>
      <c r="F156" s="427">
        <f>TFP_dataset!T169</f>
        <v>1251739</v>
      </c>
      <c r="G156" s="432">
        <f t="shared" si="6"/>
        <v>-50450</v>
      </c>
    </row>
    <row r="157" spans="3:7" x14ac:dyDescent="0.2">
      <c r="C157">
        <f>TFP_dataset!F170</f>
        <v>2010</v>
      </c>
      <c r="D157" t="str">
        <f>TFP_dataset!D170</f>
        <v>AP Power</v>
      </c>
      <c r="E157" s="427">
        <f>TFP_dataset!R170</f>
        <v>1190183</v>
      </c>
      <c r="F157" s="427">
        <f>TFP_dataset!T170</f>
        <v>1216683</v>
      </c>
      <c r="G157" s="432">
        <f t="shared" si="6"/>
        <v>-26500</v>
      </c>
    </row>
    <row r="158" spans="3:7" x14ac:dyDescent="0.2">
      <c r="C158">
        <f>TFP_dataset!F171</f>
        <v>2011</v>
      </c>
      <c r="D158" t="str">
        <f>TFP_dataset!D171</f>
        <v>AP Power</v>
      </c>
      <c r="E158" s="427">
        <f>TFP_dataset!R171</f>
        <v>1037828</v>
      </c>
      <c r="F158" s="427">
        <f>TFP_dataset!T171</f>
        <v>1084673</v>
      </c>
      <c r="G158" s="432">
        <f t="shared" si="6"/>
        <v>-46845</v>
      </c>
    </row>
    <row r="159" spans="3:7" x14ac:dyDescent="0.2">
      <c r="C159">
        <f>TFP_dataset!F172</f>
        <v>2012</v>
      </c>
      <c r="D159" t="str">
        <f>TFP_dataset!D172</f>
        <v>AP Power</v>
      </c>
      <c r="E159" s="427">
        <f>TFP_dataset!R172</f>
        <v>970063</v>
      </c>
      <c r="F159" s="427">
        <f>TFP_dataset!T172</f>
        <v>1014326</v>
      </c>
      <c r="G159" s="432">
        <f t="shared" si="6"/>
        <v>-44263</v>
      </c>
    </row>
    <row r="160" spans="3:7" x14ac:dyDescent="0.2">
      <c r="C160">
        <f>TFP_dataset!F173</f>
        <v>2013</v>
      </c>
      <c r="D160" t="str">
        <f>TFP_dataset!D173</f>
        <v>AP Power</v>
      </c>
      <c r="E160" s="427">
        <f>TFP_dataset!R173</f>
        <v>1064469</v>
      </c>
      <c r="F160" s="427">
        <f>TFP_dataset!T173</f>
        <v>1089612</v>
      </c>
      <c r="G160" s="432">
        <f t="shared" si="6"/>
        <v>-25143</v>
      </c>
    </row>
    <row r="161" spans="3:7" x14ac:dyDescent="0.2">
      <c r="C161">
        <f>TFP_dataset!F174</f>
        <v>2014</v>
      </c>
      <c r="D161" t="str">
        <f>TFP_dataset!D174</f>
        <v>AP Power</v>
      </c>
      <c r="E161" s="427">
        <f>TFP_dataset!R174</f>
        <v>905995</v>
      </c>
      <c r="F161" s="427">
        <f>TFP_dataset!T174</f>
        <v>941495</v>
      </c>
      <c r="G161" s="432">
        <f t="shared" si="6"/>
        <v>-35500</v>
      </c>
    </row>
    <row r="162" spans="3:7" x14ac:dyDescent="0.2">
      <c r="C162">
        <f>TFP_dataset!F175</f>
        <v>2002</v>
      </c>
      <c r="D162" t="str">
        <f>TFP_dataset!D175</f>
        <v>SCE&amp;G</v>
      </c>
      <c r="E162" s="427">
        <f>TFP_dataset!R175</f>
        <v>953064</v>
      </c>
      <c r="F162" s="427">
        <f>TFP_dataset!T175</f>
        <v>969825</v>
      </c>
      <c r="G162" s="432">
        <f t="shared" si="6"/>
        <v>-16761</v>
      </c>
    </row>
    <row r="163" spans="3:7" x14ac:dyDescent="0.2">
      <c r="C163">
        <f>TFP_dataset!F176</f>
        <v>2003</v>
      </c>
      <c r="D163" t="str">
        <f>TFP_dataset!D176</f>
        <v>SCE&amp;G</v>
      </c>
      <c r="E163" s="427">
        <f>TFP_dataset!R176</f>
        <v>1285981</v>
      </c>
      <c r="F163" s="427">
        <f>TFP_dataset!T176</f>
        <v>1322734</v>
      </c>
      <c r="G163" s="432">
        <f t="shared" si="6"/>
        <v>-36753</v>
      </c>
    </row>
    <row r="164" spans="3:7" x14ac:dyDescent="0.2">
      <c r="C164">
        <f>TFP_dataset!F177</f>
        <v>2004</v>
      </c>
      <c r="D164" t="str">
        <f>TFP_dataset!D177</f>
        <v>SCE&amp;G</v>
      </c>
      <c r="E164" s="427">
        <f>TFP_dataset!R177</f>
        <v>1133492</v>
      </c>
      <c r="F164" s="427">
        <f>TFP_dataset!T177</f>
        <v>1152908</v>
      </c>
      <c r="G164" s="432">
        <f t="shared" si="6"/>
        <v>-19416</v>
      </c>
    </row>
    <row r="165" spans="3:7" x14ac:dyDescent="0.2">
      <c r="C165">
        <f>TFP_dataset!F178</f>
        <v>2005</v>
      </c>
      <c r="D165" t="str">
        <f>TFP_dataset!D178</f>
        <v>SCE&amp;G</v>
      </c>
      <c r="E165" s="427">
        <f>TFP_dataset!R178</f>
        <v>1273330</v>
      </c>
      <c r="F165" s="427">
        <f>TFP_dataset!T178</f>
        <v>1284771</v>
      </c>
      <c r="G165" s="432">
        <f t="shared" si="6"/>
        <v>-11441</v>
      </c>
    </row>
    <row r="166" spans="3:7" x14ac:dyDescent="0.2">
      <c r="C166">
        <f>TFP_dataset!F179</f>
        <v>2006</v>
      </c>
      <c r="D166" t="str">
        <f>TFP_dataset!D179</f>
        <v>SCE&amp;G</v>
      </c>
      <c r="E166" s="427">
        <f>TFP_dataset!R179</f>
        <v>1019894</v>
      </c>
      <c r="F166" s="427">
        <f>TFP_dataset!T179</f>
        <v>1039999</v>
      </c>
      <c r="G166" s="432">
        <f t="shared" si="6"/>
        <v>-20105</v>
      </c>
    </row>
    <row r="167" spans="3:7" x14ac:dyDescent="0.2">
      <c r="C167">
        <f>TFP_dataset!F180</f>
        <v>2007</v>
      </c>
      <c r="D167" t="str">
        <f>TFP_dataset!D180</f>
        <v>SCE&amp;G</v>
      </c>
      <c r="E167" s="427">
        <f>TFP_dataset!R180</f>
        <v>1018237</v>
      </c>
      <c r="F167" s="427">
        <f>TFP_dataset!T180</f>
        <v>1032985</v>
      </c>
      <c r="G167" s="432">
        <f t="shared" si="6"/>
        <v>-14748</v>
      </c>
    </row>
    <row r="168" spans="3:7" x14ac:dyDescent="0.2">
      <c r="C168">
        <f>TFP_dataset!F181</f>
        <v>2008</v>
      </c>
      <c r="D168" t="str">
        <f>TFP_dataset!D181</f>
        <v>SCE&amp;G</v>
      </c>
      <c r="E168" s="427">
        <f>TFP_dataset!R181</f>
        <v>917768</v>
      </c>
      <c r="F168" s="427">
        <f>TFP_dataset!T181</f>
        <v>927309</v>
      </c>
      <c r="G168" s="432">
        <f t="shared" si="6"/>
        <v>-9541</v>
      </c>
    </row>
    <row r="169" spans="3:7" x14ac:dyDescent="0.2">
      <c r="C169">
        <f>TFP_dataset!F182</f>
        <v>2009</v>
      </c>
      <c r="D169" t="str">
        <f>TFP_dataset!D182</f>
        <v>SCE&amp;G</v>
      </c>
      <c r="E169" s="427">
        <f>TFP_dataset!R182</f>
        <v>960207</v>
      </c>
      <c r="F169" s="427">
        <f>TFP_dataset!T182</f>
        <v>974736</v>
      </c>
      <c r="G169" s="432">
        <f t="shared" si="6"/>
        <v>-14529</v>
      </c>
    </row>
    <row r="170" spans="3:7" x14ac:dyDescent="0.2">
      <c r="C170">
        <f>TFP_dataset!F183</f>
        <v>2010</v>
      </c>
      <c r="D170" t="str">
        <f>TFP_dataset!D183</f>
        <v>SCE&amp;G</v>
      </c>
      <c r="E170" s="427">
        <f>TFP_dataset!R183</f>
        <v>870435</v>
      </c>
      <c r="F170" s="427">
        <f>TFP_dataset!T183</f>
        <v>889511</v>
      </c>
      <c r="G170" s="432">
        <f t="shared" si="6"/>
        <v>-19076</v>
      </c>
    </row>
    <row r="171" spans="3:7" x14ac:dyDescent="0.2">
      <c r="C171">
        <f>TFP_dataset!F184</f>
        <v>2011</v>
      </c>
      <c r="D171" t="str">
        <f>TFP_dataset!D184</f>
        <v>SCE&amp;G</v>
      </c>
      <c r="E171" s="427">
        <f>TFP_dataset!R184</f>
        <v>723578</v>
      </c>
      <c r="F171" s="427">
        <f>TFP_dataset!T184</f>
        <v>734747</v>
      </c>
      <c r="G171" s="432">
        <f t="shared" si="6"/>
        <v>-11169</v>
      </c>
    </row>
    <row r="172" spans="3:7" x14ac:dyDescent="0.2">
      <c r="C172">
        <f>TFP_dataset!F185</f>
        <v>2012</v>
      </c>
      <c r="D172" t="str">
        <f>TFP_dataset!D185</f>
        <v>SCE&amp;G</v>
      </c>
      <c r="E172" s="427">
        <f>TFP_dataset!R185</f>
        <v>752595</v>
      </c>
      <c r="F172" s="427">
        <f>TFP_dataset!T185</f>
        <v>766266</v>
      </c>
      <c r="G172" s="432">
        <f t="shared" si="6"/>
        <v>-13671</v>
      </c>
    </row>
    <row r="173" spans="3:7" x14ac:dyDescent="0.2">
      <c r="C173">
        <f>TFP_dataset!F186</f>
        <v>2013</v>
      </c>
      <c r="D173" t="str">
        <f>TFP_dataset!D186</f>
        <v>SCE&amp;G</v>
      </c>
      <c r="E173" s="427">
        <f>TFP_dataset!R186</f>
        <v>809223</v>
      </c>
      <c r="F173" s="427">
        <f>TFP_dataset!T186</f>
        <v>832363</v>
      </c>
      <c r="G173" s="432">
        <f t="shared" si="6"/>
        <v>-23140</v>
      </c>
    </row>
    <row r="174" spans="3:7" x14ac:dyDescent="0.2">
      <c r="C174">
        <f>TFP_dataset!F187</f>
        <v>2014</v>
      </c>
      <c r="D174" t="str">
        <f>TFP_dataset!D187</f>
        <v>SCE&amp;G</v>
      </c>
      <c r="E174" s="427">
        <f>TFP_dataset!R187</f>
        <v>613520</v>
      </c>
      <c r="F174" s="427">
        <f>TFP_dataset!T187</f>
        <v>633826</v>
      </c>
      <c r="G174" s="432">
        <f t="shared" si="6"/>
        <v>-20306</v>
      </c>
    </row>
    <row r="175" spans="3:7" x14ac:dyDescent="0.2">
      <c r="E175" s="427"/>
      <c r="F175" s="427"/>
      <c r="G175" s="432"/>
    </row>
    <row r="176" spans="3:7" x14ac:dyDescent="0.2">
      <c r="E176" s="427"/>
      <c r="F176" s="427"/>
      <c r="G176" s="432"/>
    </row>
    <row r="177" spans="5:7" x14ac:dyDescent="0.2">
      <c r="E177" s="427"/>
      <c r="F177" s="427"/>
      <c r="G177" s="432"/>
    </row>
    <row r="178" spans="5:7" x14ac:dyDescent="0.2">
      <c r="E178" s="427"/>
      <c r="F178" s="427"/>
      <c r="G178" s="432"/>
    </row>
    <row r="179" spans="5:7" x14ac:dyDescent="0.2">
      <c r="E179" s="427"/>
      <c r="F179" s="427"/>
      <c r="G179" s="432"/>
    </row>
    <row r="180" spans="5:7" x14ac:dyDescent="0.2">
      <c r="E180" s="427"/>
      <c r="F180" s="427"/>
      <c r="G180" s="432"/>
    </row>
    <row r="181" spans="5:7" x14ac:dyDescent="0.2">
      <c r="E181" s="427"/>
      <c r="F181" s="427"/>
      <c r="G181" s="432"/>
    </row>
    <row r="182" spans="5:7" x14ac:dyDescent="0.2">
      <c r="E182" s="427"/>
      <c r="F182" s="427"/>
      <c r="G182" s="432"/>
    </row>
    <row r="183" spans="5:7" x14ac:dyDescent="0.2">
      <c r="E183" s="427"/>
      <c r="F183" s="427"/>
      <c r="G183" s="432"/>
    </row>
    <row r="184" spans="5:7" x14ac:dyDescent="0.2">
      <c r="E184" s="427"/>
      <c r="F184" s="427"/>
      <c r="G184" s="432"/>
    </row>
    <row r="185" spans="5:7" x14ac:dyDescent="0.2">
      <c r="E185" s="427"/>
      <c r="F185" s="427"/>
      <c r="G185" s="432"/>
    </row>
    <row r="186" spans="5:7" x14ac:dyDescent="0.2">
      <c r="E186" s="427"/>
      <c r="F186" s="427"/>
      <c r="G186" s="432"/>
    </row>
    <row r="187" spans="5:7" x14ac:dyDescent="0.2">
      <c r="E187" s="427"/>
      <c r="F187" s="427"/>
      <c r="G187" s="432"/>
    </row>
    <row r="188" spans="5:7" x14ac:dyDescent="0.2">
      <c r="E188" s="427"/>
      <c r="F188" s="427"/>
      <c r="G188" s="432"/>
    </row>
    <row r="189" spans="5:7" x14ac:dyDescent="0.2">
      <c r="E189" s="427"/>
      <c r="F189" s="427"/>
      <c r="G189" s="432"/>
    </row>
    <row r="190" spans="5:7" x14ac:dyDescent="0.2">
      <c r="E190" s="427"/>
      <c r="F190" s="427"/>
      <c r="G190" s="432"/>
    </row>
    <row r="191" spans="5:7" x14ac:dyDescent="0.2">
      <c r="E191" s="427"/>
      <c r="F191" s="427"/>
      <c r="G191" s="432"/>
    </row>
    <row r="192" spans="5:7" x14ac:dyDescent="0.2">
      <c r="E192" s="427"/>
      <c r="F192" s="427"/>
      <c r="G192" s="432"/>
    </row>
    <row r="193" spans="5:7" x14ac:dyDescent="0.2">
      <c r="E193" s="427"/>
      <c r="F193" s="427"/>
      <c r="G193" s="432"/>
    </row>
    <row r="194" spans="5:7" x14ac:dyDescent="0.2">
      <c r="E194" s="427"/>
      <c r="F194" s="427"/>
      <c r="G194" s="432"/>
    </row>
    <row r="195" spans="5:7" x14ac:dyDescent="0.2">
      <c r="E195" s="427"/>
      <c r="F195" s="427"/>
      <c r="G195" s="432"/>
    </row>
    <row r="196" spans="5:7" x14ac:dyDescent="0.2">
      <c r="E196" s="427"/>
      <c r="F196" s="427"/>
      <c r="G196" s="432"/>
    </row>
    <row r="197" spans="5:7" x14ac:dyDescent="0.2">
      <c r="E197" s="427"/>
      <c r="F197" s="427"/>
      <c r="G197" s="432"/>
    </row>
    <row r="198" spans="5:7" x14ac:dyDescent="0.2">
      <c r="E198" s="427"/>
      <c r="F198" s="427"/>
      <c r="G198" s="432"/>
    </row>
    <row r="199" spans="5:7" x14ac:dyDescent="0.2">
      <c r="E199" s="427"/>
      <c r="F199" s="427"/>
      <c r="G199" s="432"/>
    </row>
    <row r="200" spans="5:7" x14ac:dyDescent="0.2">
      <c r="E200" s="427"/>
      <c r="F200" s="427"/>
      <c r="G200" s="432"/>
    </row>
    <row r="201" spans="5:7" x14ac:dyDescent="0.2">
      <c r="E201" s="427"/>
      <c r="F201" s="427"/>
      <c r="G201" s="432"/>
    </row>
    <row r="202" spans="5:7" x14ac:dyDescent="0.2">
      <c r="E202" s="427"/>
      <c r="F202" s="427"/>
      <c r="G202" s="432"/>
    </row>
    <row r="203" spans="5:7" x14ac:dyDescent="0.2">
      <c r="E203" s="427"/>
      <c r="F203" s="427"/>
      <c r="G203" s="432"/>
    </row>
    <row r="204" spans="5:7" x14ac:dyDescent="0.2">
      <c r="E204" s="427"/>
      <c r="F204" s="427"/>
      <c r="G204" s="432"/>
    </row>
    <row r="205" spans="5:7" x14ac:dyDescent="0.2">
      <c r="E205" s="427"/>
      <c r="F205" s="427"/>
      <c r="G205" s="432"/>
    </row>
    <row r="206" spans="5:7" x14ac:dyDescent="0.2">
      <c r="E206" s="427"/>
      <c r="F206" s="427"/>
      <c r="G206" s="432"/>
    </row>
    <row r="207" spans="5:7" x14ac:dyDescent="0.2">
      <c r="E207" s="427"/>
      <c r="F207" s="427"/>
      <c r="G207" s="432"/>
    </row>
    <row r="208" spans="5:7" x14ac:dyDescent="0.2">
      <c r="E208" s="427"/>
      <c r="F208" s="427"/>
      <c r="G208" s="432"/>
    </row>
    <row r="209" spans="5:7" x14ac:dyDescent="0.2">
      <c r="E209" s="427"/>
      <c r="F209" s="427"/>
      <c r="G209" s="432"/>
    </row>
    <row r="210" spans="5:7" x14ac:dyDescent="0.2">
      <c r="E210" s="427"/>
      <c r="F210" s="427"/>
      <c r="G210" s="432"/>
    </row>
    <row r="211" spans="5:7" x14ac:dyDescent="0.2">
      <c r="E211" s="427"/>
      <c r="F211" s="427"/>
      <c r="G211" s="432"/>
    </row>
    <row r="212" spans="5:7" x14ac:dyDescent="0.2">
      <c r="E212" s="427"/>
      <c r="F212" s="427"/>
      <c r="G212" s="432"/>
    </row>
    <row r="213" spans="5:7" x14ac:dyDescent="0.2">
      <c r="E213" s="427"/>
      <c r="F213" s="427"/>
      <c r="G213" s="432"/>
    </row>
    <row r="214" spans="5:7" x14ac:dyDescent="0.2">
      <c r="E214" s="427"/>
      <c r="F214" s="427"/>
      <c r="G214" s="432"/>
    </row>
    <row r="215" spans="5:7" x14ac:dyDescent="0.2">
      <c r="E215" s="427"/>
      <c r="F215" s="427"/>
      <c r="G215" s="432"/>
    </row>
    <row r="216" spans="5:7" x14ac:dyDescent="0.2">
      <c r="E216" s="427"/>
      <c r="F216" s="427"/>
      <c r="G216" s="432"/>
    </row>
    <row r="217" spans="5:7" x14ac:dyDescent="0.2">
      <c r="E217" s="427"/>
      <c r="F217" s="427"/>
      <c r="G217" s="432"/>
    </row>
    <row r="218" spans="5:7" x14ac:dyDescent="0.2">
      <c r="E218" s="427"/>
      <c r="F218" s="427"/>
      <c r="G218" s="432"/>
    </row>
    <row r="219" spans="5:7" x14ac:dyDescent="0.2">
      <c r="E219" s="427"/>
      <c r="F219" s="427"/>
      <c r="G219" s="432"/>
    </row>
    <row r="220" spans="5:7" x14ac:dyDescent="0.2">
      <c r="E220" s="427"/>
      <c r="F220" s="427"/>
      <c r="G220" s="432"/>
    </row>
    <row r="221" spans="5:7" x14ac:dyDescent="0.2">
      <c r="E221" s="427"/>
      <c r="F221" s="427"/>
      <c r="G221" s="432"/>
    </row>
    <row r="222" spans="5:7" x14ac:dyDescent="0.2">
      <c r="E222" s="427"/>
      <c r="F222" s="427"/>
      <c r="G222" s="432"/>
    </row>
    <row r="223" spans="5:7" x14ac:dyDescent="0.2">
      <c r="E223" s="427"/>
      <c r="F223" s="427"/>
      <c r="G223" s="432"/>
    </row>
    <row r="224" spans="5:7" x14ac:dyDescent="0.2">
      <c r="E224" s="427"/>
      <c r="F224" s="427"/>
      <c r="G224" s="432"/>
    </row>
    <row r="225" spans="5:7" x14ac:dyDescent="0.2">
      <c r="E225" s="427"/>
      <c r="F225" s="427"/>
      <c r="G225" s="432"/>
    </row>
    <row r="226" spans="5:7" x14ac:dyDescent="0.2">
      <c r="E226" s="427"/>
      <c r="F226" s="427"/>
      <c r="G226" s="432"/>
    </row>
    <row r="227" spans="5:7" x14ac:dyDescent="0.2">
      <c r="E227" s="427"/>
      <c r="F227" s="427"/>
      <c r="G227" s="432"/>
    </row>
    <row r="228" spans="5:7" x14ac:dyDescent="0.2">
      <c r="E228" s="427"/>
      <c r="F228" s="427"/>
      <c r="G228" s="432"/>
    </row>
    <row r="229" spans="5:7" x14ac:dyDescent="0.2">
      <c r="E229" s="427"/>
      <c r="F229" s="427"/>
      <c r="G229" s="432"/>
    </row>
    <row r="230" spans="5:7" x14ac:dyDescent="0.2">
      <c r="E230" s="427"/>
      <c r="F230" s="427"/>
      <c r="G230" s="432"/>
    </row>
    <row r="231" spans="5:7" x14ac:dyDescent="0.2">
      <c r="E231" s="427"/>
      <c r="F231" s="427"/>
      <c r="G231" s="432"/>
    </row>
    <row r="232" spans="5:7" x14ac:dyDescent="0.2">
      <c r="E232" s="427"/>
      <c r="F232" s="427"/>
      <c r="G232" s="432"/>
    </row>
    <row r="233" spans="5:7" x14ac:dyDescent="0.2">
      <c r="E233" s="427"/>
      <c r="F233" s="427"/>
      <c r="G233" s="432"/>
    </row>
    <row r="234" spans="5:7" x14ac:dyDescent="0.2">
      <c r="E234" s="427"/>
      <c r="F234" s="427"/>
      <c r="G234" s="432"/>
    </row>
    <row r="235" spans="5:7" x14ac:dyDescent="0.2">
      <c r="E235" s="427"/>
      <c r="F235" s="427"/>
      <c r="G235" s="432"/>
    </row>
    <row r="236" spans="5:7" x14ac:dyDescent="0.2">
      <c r="E236" s="427"/>
      <c r="F236" s="427"/>
      <c r="G236" s="432"/>
    </row>
    <row r="237" spans="5:7" x14ac:dyDescent="0.2">
      <c r="E237" s="427"/>
      <c r="F237" s="427"/>
      <c r="G237" s="432"/>
    </row>
    <row r="238" spans="5:7" x14ac:dyDescent="0.2">
      <c r="E238" s="427"/>
      <c r="F238" s="427"/>
      <c r="G238" s="432"/>
    </row>
    <row r="239" spans="5:7" x14ac:dyDescent="0.2">
      <c r="E239" s="427"/>
      <c r="F239" s="427"/>
      <c r="G239" s="432"/>
    </row>
    <row r="240" spans="5:7" x14ac:dyDescent="0.2">
      <c r="E240" s="427"/>
      <c r="F240" s="427"/>
      <c r="G240" s="432"/>
    </row>
    <row r="241" spans="5:7" x14ac:dyDescent="0.2">
      <c r="E241" s="427"/>
      <c r="F241" s="427"/>
      <c r="G241" s="432"/>
    </row>
    <row r="242" spans="5:7" x14ac:dyDescent="0.2">
      <c r="E242" s="427"/>
      <c r="F242" s="427"/>
      <c r="G242" s="432"/>
    </row>
    <row r="243" spans="5:7" x14ac:dyDescent="0.2">
      <c r="E243" s="427"/>
      <c r="F243" s="427"/>
      <c r="G243" s="432"/>
    </row>
    <row r="244" spans="5:7" x14ac:dyDescent="0.2">
      <c r="E244" s="427"/>
      <c r="F244" s="427"/>
      <c r="G244" s="432"/>
    </row>
    <row r="245" spans="5:7" x14ac:dyDescent="0.2">
      <c r="E245" s="427"/>
      <c r="F245" s="427"/>
      <c r="G245" s="432"/>
    </row>
    <row r="246" spans="5:7" x14ac:dyDescent="0.2">
      <c r="E246" s="427"/>
      <c r="F246" s="427"/>
      <c r="G246" s="432"/>
    </row>
    <row r="247" spans="5:7" x14ac:dyDescent="0.2">
      <c r="E247" s="427"/>
      <c r="F247" s="427"/>
      <c r="G247" s="432"/>
    </row>
    <row r="248" spans="5:7" x14ac:dyDescent="0.2">
      <c r="E248" s="427"/>
      <c r="F248" s="427"/>
      <c r="G248" s="432"/>
    </row>
    <row r="249" spans="5:7" x14ac:dyDescent="0.2">
      <c r="E249" s="427"/>
      <c r="F249" s="427"/>
      <c r="G249" s="432"/>
    </row>
    <row r="250" spans="5:7" x14ac:dyDescent="0.2">
      <c r="E250" s="427"/>
      <c r="F250" s="427"/>
      <c r="G250" s="432"/>
    </row>
    <row r="251" spans="5:7" x14ac:dyDescent="0.2">
      <c r="E251" s="427"/>
      <c r="F251" s="427"/>
      <c r="G251" s="432"/>
    </row>
    <row r="252" spans="5:7" x14ac:dyDescent="0.2">
      <c r="E252" s="427"/>
      <c r="F252" s="427"/>
      <c r="G252" s="432"/>
    </row>
    <row r="253" spans="5:7" x14ac:dyDescent="0.2">
      <c r="E253" s="427"/>
      <c r="F253" s="427"/>
      <c r="G253" s="432"/>
    </row>
    <row r="254" spans="5:7" x14ac:dyDescent="0.2">
      <c r="E254" s="427"/>
      <c r="F254" s="427"/>
      <c r="G254" s="432"/>
    </row>
    <row r="255" spans="5:7" x14ac:dyDescent="0.2">
      <c r="E255" s="427"/>
      <c r="F255" s="427"/>
      <c r="G255" s="432"/>
    </row>
    <row r="256" spans="5:7" x14ac:dyDescent="0.2">
      <c r="E256" s="427"/>
      <c r="F256" s="427"/>
      <c r="G256" s="432"/>
    </row>
    <row r="257" spans="5:7" x14ac:dyDescent="0.2">
      <c r="E257" s="427"/>
      <c r="F257" s="427"/>
      <c r="G257" s="432"/>
    </row>
    <row r="258" spans="5:7" x14ac:dyDescent="0.2">
      <c r="E258" s="427"/>
      <c r="F258" s="427"/>
      <c r="G258" s="432"/>
    </row>
    <row r="259" spans="5:7" x14ac:dyDescent="0.2">
      <c r="E259" s="427"/>
      <c r="F259" s="427"/>
      <c r="G259" s="432"/>
    </row>
    <row r="260" spans="5:7" x14ac:dyDescent="0.2">
      <c r="E260" s="427"/>
      <c r="F260" s="427"/>
      <c r="G260" s="432"/>
    </row>
    <row r="261" spans="5:7" x14ac:dyDescent="0.2">
      <c r="E261" s="427"/>
      <c r="F261" s="427"/>
      <c r="G261" s="432"/>
    </row>
    <row r="262" spans="5:7" x14ac:dyDescent="0.2">
      <c r="E262" s="427"/>
      <c r="F262" s="427"/>
      <c r="G262" s="432"/>
    </row>
    <row r="263" spans="5:7" x14ac:dyDescent="0.2">
      <c r="E263" s="427"/>
      <c r="F263" s="427"/>
      <c r="G263" s="432"/>
    </row>
    <row r="264" spans="5:7" x14ac:dyDescent="0.2">
      <c r="E264" s="427"/>
      <c r="F264" s="427"/>
      <c r="G264" s="432"/>
    </row>
    <row r="265" spans="5:7" x14ac:dyDescent="0.2">
      <c r="E265" s="427"/>
      <c r="F265" s="427"/>
      <c r="G265" s="432"/>
    </row>
    <row r="266" spans="5:7" x14ac:dyDescent="0.2">
      <c r="E266" s="427"/>
      <c r="F266" s="427"/>
      <c r="G266" s="432"/>
    </row>
    <row r="267" spans="5:7" x14ac:dyDescent="0.2">
      <c r="E267" s="427"/>
      <c r="F267" s="427"/>
      <c r="G267" s="432"/>
    </row>
    <row r="268" spans="5:7" x14ac:dyDescent="0.2">
      <c r="E268" s="427"/>
      <c r="F268" s="427"/>
      <c r="G268" s="432"/>
    </row>
    <row r="269" spans="5:7" x14ac:dyDescent="0.2">
      <c r="E269" s="427"/>
      <c r="F269" s="427"/>
      <c r="G269" s="432"/>
    </row>
    <row r="270" spans="5:7" x14ac:dyDescent="0.2">
      <c r="E270" s="427"/>
      <c r="F270" s="427"/>
      <c r="G270" s="432"/>
    </row>
    <row r="271" spans="5:7" x14ac:dyDescent="0.2">
      <c r="E271" s="427"/>
      <c r="F271" s="427"/>
      <c r="G271" s="432"/>
    </row>
    <row r="272" spans="5:7" x14ac:dyDescent="0.2">
      <c r="E272" s="427"/>
      <c r="F272" s="427"/>
      <c r="G272" s="432"/>
    </row>
    <row r="273" spans="5:7" x14ac:dyDescent="0.2">
      <c r="E273" s="427"/>
      <c r="F273" s="427"/>
      <c r="G273" s="432"/>
    </row>
    <row r="274" spans="5:7" x14ac:dyDescent="0.2">
      <c r="E274" s="427"/>
      <c r="F274" s="427"/>
      <c r="G274" s="432"/>
    </row>
    <row r="275" spans="5:7" x14ac:dyDescent="0.2">
      <c r="E275" s="427"/>
      <c r="F275" s="427"/>
      <c r="G275" s="432"/>
    </row>
    <row r="276" spans="5:7" x14ac:dyDescent="0.2">
      <c r="E276" s="427"/>
      <c r="F276" s="427"/>
      <c r="G276" s="432"/>
    </row>
    <row r="277" spans="5:7" x14ac:dyDescent="0.2">
      <c r="E277" s="427"/>
      <c r="F277" s="427"/>
      <c r="G277" s="432"/>
    </row>
    <row r="278" spans="5:7" x14ac:dyDescent="0.2">
      <c r="E278" s="427"/>
      <c r="F278" s="427"/>
      <c r="G278" s="432"/>
    </row>
    <row r="279" spans="5:7" x14ac:dyDescent="0.2">
      <c r="E279" s="427"/>
      <c r="F279" s="427"/>
      <c r="G279" s="432"/>
    </row>
    <row r="280" spans="5:7" x14ac:dyDescent="0.2">
      <c r="E280" s="427"/>
      <c r="F280" s="427"/>
      <c r="G280" s="432"/>
    </row>
    <row r="281" spans="5:7" x14ac:dyDescent="0.2">
      <c r="E281" s="427"/>
      <c r="F281" s="427"/>
      <c r="G281" s="432"/>
    </row>
    <row r="282" spans="5:7" x14ac:dyDescent="0.2">
      <c r="E282" s="427"/>
      <c r="F282" s="427"/>
      <c r="G282" s="432"/>
    </row>
    <row r="283" spans="5:7" x14ac:dyDescent="0.2">
      <c r="E283" s="427"/>
      <c r="F283" s="427"/>
      <c r="G283" s="432"/>
    </row>
    <row r="284" spans="5:7" x14ac:dyDescent="0.2">
      <c r="E284" s="427"/>
      <c r="F284" s="427"/>
      <c r="G284" s="432"/>
    </row>
    <row r="285" spans="5:7" x14ac:dyDescent="0.2">
      <c r="E285" s="427"/>
      <c r="F285" s="427"/>
      <c r="G285" s="432"/>
    </row>
    <row r="286" spans="5:7" x14ac:dyDescent="0.2">
      <c r="E286" s="427"/>
      <c r="F286" s="427"/>
      <c r="G286" s="432"/>
    </row>
    <row r="287" spans="5:7" x14ac:dyDescent="0.2">
      <c r="E287" s="427"/>
      <c r="F287" s="427"/>
      <c r="G287" s="432"/>
    </row>
    <row r="288" spans="5:7" x14ac:dyDescent="0.2">
      <c r="E288" s="427"/>
      <c r="F288" s="427"/>
      <c r="G288" s="432"/>
    </row>
    <row r="289" spans="5:7" x14ac:dyDescent="0.2">
      <c r="E289" s="427"/>
      <c r="F289" s="427"/>
      <c r="G289" s="432"/>
    </row>
    <row r="290" spans="5:7" x14ac:dyDescent="0.2">
      <c r="E290" s="427"/>
      <c r="F290" s="427"/>
      <c r="G290" s="432"/>
    </row>
    <row r="291" spans="5:7" x14ac:dyDescent="0.2">
      <c r="E291" s="427"/>
      <c r="F291" s="427"/>
      <c r="G291" s="432"/>
    </row>
    <row r="292" spans="5:7" x14ac:dyDescent="0.2">
      <c r="E292" s="427"/>
      <c r="F292" s="427"/>
      <c r="G292" s="432"/>
    </row>
    <row r="293" spans="5:7" x14ac:dyDescent="0.2">
      <c r="E293" s="427"/>
      <c r="F293" s="427"/>
      <c r="G293" s="432"/>
    </row>
    <row r="294" spans="5:7" x14ac:dyDescent="0.2">
      <c r="E294" s="427"/>
      <c r="F294" s="427"/>
      <c r="G294" s="432"/>
    </row>
    <row r="295" spans="5:7" x14ac:dyDescent="0.2">
      <c r="E295" s="427"/>
      <c r="F295" s="427"/>
      <c r="G295" s="432"/>
    </row>
    <row r="296" spans="5:7" x14ac:dyDescent="0.2">
      <c r="E296" s="427"/>
      <c r="F296" s="427"/>
      <c r="G296" s="432"/>
    </row>
    <row r="297" spans="5:7" x14ac:dyDescent="0.2">
      <c r="E297" s="427"/>
      <c r="F297" s="427"/>
      <c r="G297" s="432"/>
    </row>
    <row r="298" spans="5:7" x14ac:dyDescent="0.2">
      <c r="E298" s="427"/>
      <c r="F298" s="427"/>
      <c r="G298" s="432"/>
    </row>
    <row r="299" spans="5:7" x14ac:dyDescent="0.2">
      <c r="E299" s="427"/>
      <c r="F299" s="427"/>
      <c r="G299" s="432"/>
    </row>
    <row r="300" spans="5:7" x14ac:dyDescent="0.2">
      <c r="E300" s="427"/>
      <c r="F300" s="427"/>
      <c r="G300" s="432"/>
    </row>
    <row r="301" spans="5:7" x14ac:dyDescent="0.2">
      <c r="E301" s="427"/>
      <c r="F301" s="427"/>
      <c r="G301" s="432"/>
    </row>
    <row r="302" spans="5:7" x14ac:dyDescent="0.2">
      <c r="E302" s="427"/>
      <c r="F302" s="427"/>
      <c r="G302" s="432"/>
    </row>
    <row r="303" spans="5:7" x14ac:dyDescent="0.2">
      <c r="E303" s="427"/>
      <c r="F303" s="427"/>
      <c r="G303" s="432"/>
    </row>
    <row r="304" spans="5:7" x14ac:dyDescent="0.2">
      <c r="E304" s="427"/>
      <c r="F304" s="427"/>
      <c r="G304" s="432"/>
    </row>
    <row r="305" spans="5:7" x14ac:dyDescent="0.2">
      <c r="E305" s="427"/>
      <c r="F305" s="427"/>
      <c r="G305" s="432"/>
    </row>
    <row r="306" spans="5:7" x14ac:dyDescent="0.2">
      <c r="E306" s="427"/>
      <c r="F306" s="427"/>
      <c r="G306" s="432"/>
    </row>
    <row r="307" spans="5:7" x14ac:dyDescent="0.2">
      <c r="E307" s="427"/>
      <c r="F307" s="427"/>
      <c r="G307" s="432"/>
    </row>
    <row r="308" spans="5:7" x14ac:dyDescent="0.2">
      <c r="E308" s="427"/>
      <c r="F308" s="427"/>
      <c r="G308" s="432"/>
    </row>
    <row r="309" spans="5:7" x14ac:dyDescent="0.2">
      <c r="E309" s="427"/>
      <c r="F309" s="427"/>
      <c r="G309" s="432"/>
    </row>
    <row r="310" spans="5:7" x14ac:dyDescent="0.2">
      <c r="E310" s="427"/>
      <c r="F310" s="427"/>
      <c r="G310" s="432"/>
    </row>
    <row r="311" spans="5:7" x14ac:dyDescent="0.2">
      <c r="E311" s="427"/>
      <c r="F311" s="427"/>
      <c r="G311" s="432"/>
    </row>
    <row r="312" spans="5:7" x14ac:dyDescent="0.2">
      <c r="E312" s="427"/>
      <c r="F312" s="427"/>
      <c r="G312" s="432"/>
    </row>
    <row r="313" spans="5:7" x14ac:dyDescent="0.2">
      <c r="E313" s="427"/>
      <c r="F313" s="427"/>
      <c r="G313" s="432"/>
    </row>
    <row r="314" spans="5:7" x14ac:dyDescent="0.2">
      <c r="E314" s="427"/>
      <c r="F314" s="427"/>
      <c r="G314" s="432"/>
    </row>
    <row r="315" spans="5:7" x14ac:dyDescent="0.2">
      <c r="E315" s="427"/>
      <c r="F315" s="427"/>
      <c r="G315" s="432"/>
    </row>
    <row r="316" spans="5:7" x14ac:dyDescent="0.2">
      <c r="E316" s="427"/>
      <c r="F316" s="427"/>
      <c r="G316" s="432"/>
    </row>
    <row r="317" spans="5:7" x14ac:dyDescent="0.2">
      <c r="E317" s="427"/>
      <c r="F317" s="427"/>
      <c r="G317" s="432"/>
    </row>
    <row r="318" spans="5:7" x14ac:dyDescent="0.2">
      <c r="E318" s="427"/>
      <c r="F318" s="427"/>
      <c r="G318" s="432"/>
    </row>
    <row r="319" spans="5:7" x14ac:dyDescent="0.2">
      <c r="E319" s="427"/>
      <c r="F319" s="427"/>
      <c r="G319" s="432"/>
    </row>
    <row r="320" spans="5:7" x14ac:dyDescent="0.2">
      <c r="E320" s="427"/>
      <c r="F320" s="427"/>
      <c r="G320" s="432"/>
    </row>
    <row r="321" spans="5:7" x14ac:dyDescent="0.2">
      <c r="E321" s="427"/>
      <c r="F321" s="427"/>
      <c r="G321" s="432"/>
    </row>
    <row r="322" spans="5:7" x14ac:dyDescent="0.2">
      <c r="E322" s="427"/>
      <c r="F322" s="427"/>
      <c r="G322" s="432"/>
    </row>
    <row r="323" spans="5:7" x14ac:dyDescent="0.2">
      <c r="E323" s="427"/>
      <c r="F323" s="427"/>
      <c r="G323" s="432"/>
    </row>
    <row r="324" spans="5:7" x14ac:dyDescent="0.2">
      <c r="E324" s="427"/>
      <c r="F324" s="427"/>
      <c r="G324" s="432"/>
    </row>
    <row r="325" spans="5:7" x14ac:dyDescent="0.2">
      <c r="E325" s="427"/>
      <c r="F325" s="427"/>
      <c r="G325" s="432"/>
    </row>
    <row r="326" spans="5:7" x14ac:dyDescent="0.2">
      <c r="E326" s="427"/>
      <c r="F326" s="427"/>
      <c r="G326" s="432"/>
    </row>
    <row r="327" spans="5:7" x14ac:dyDescent="0.2">
      <c r="E327" s="427"/>
      <c r="F327" s="427"/>
      <c r="G327" s="432"/>
    </row>
    <row r="328" spans="5:7" x14ac:dyDescent="0.2">
      <c r="E328" s="427"/>
      <c r="F328" s="427"/>
      <c r="G328" s="432"/>
    </row>
    <row r="329" spans="5:7" x14ac:dyDescent="0.2">
      <c r="E329" s="427"/>
      <c r="F329" s="427"/>
      <c r="G329" s="432"/>
    </row>
    <row r="330" spans="5:7" x14ac:dyDescent="0.2">
      <c r="E330" s="427"/>
      <c r="F330" s="427"/>
      <c r="G330" s="432"/>
    </row>
    <row r="331" spans="5:7" x14ac:dyDescent="0.2">
      <c r="E331" s="427"/>
      <c r="F331" s="427"/>
      <c r="G331" s="432"/>
    </row>
    <row r="332" spans="5:7" x14ac:dyDescent="0.2">
      <c r="E332" s="427"/>
      <c r="F332" s="427"/>
      <c r="G332" s="432"/>
    </row>
    <row r="333" spans="5:7" x14ac:dyDescent="0.2">
      <c r="E333" s="427"/>
      <c r="F333" s="427"/>
      <c r="G333" s="432"/>
    </row>
    <row r="334" spans="5:7" x14ac:dyDescent="0.2">
      <c r="E334" s="427"/>
      <c r="F334" s="427"/>
      <c r="G334" s="432"/>
    </row>
    <row r="335" spans="5:7" x14ac:dyDescent="0.2">
      <c r="E335" s="427"/>
      <c r="F335" s="427"/>
      <c r="G335" s="432"/>
    </row>
    <row r="336" spans="5:7" x14ac:dyDescent="0.2">
      <c r="E336" s="427"/>
      <c r="F336" s="427"/>
      <c r="G336" s="432"/>
    </row>
    <row r="337" spans="5:7" x14ac:dyDescent="0.2">
      <c r="E337" s="427"/>
      <c r="F337" s="427"/>
      <c r="G337" s="432"/>
    </row>
    <row r="338" spans="5:7" x14ac:dyDescent="0.2">
      <c r="E338" s="427"/>
      <c r="F338" s="427"/>
      <c r="G338" s="432"/>
    </row>
    <row r="339" spans="5:7" x14ac:dyDescent="0.2">
      <c r="E339" s="427"/>
      <c r="F339" s="427"/>
      <c r="G339" s="432"/>
    </row>
    <row r="340" spans="5:7" x14ac:dyDescent="0.2">
      <c r="E340" s="427"/>
      <c r="F340" s="427"/>
      <c r="G340" s="432"/>
    </row>
    <row r="341" spans="5:7" x14ac:dyDescent="0.2">
      <c r="E341" s="427"/>
      <c r="F341" s="427"/>
      <c r="G341" s="432"/>
    </row>
    <row r="342" spans="5:7" x14ac:dyDescent="0.2">
      <c r="E342" s="427"/>
      <c r="F342" s="427"/>
      <c r="G342" s="432"/>
    </row>
    <row r="343" spans="5:7" x14ac:dyDescent="0.2">
      <c r="E343" s="427"/>
      <c r="F343" s="427"/>
      <c r="G343" s="432"/>
    </row>
    <row r="344" spans="5:7" x14ac:dyDescent="0.2">
      <c r="E344" s="427"/>
      <c r="F344" s="427"/>
      <c r="G344" s="432"/>
    </row>
    <row r="345" spans="5:7" x14ac:dyDescent="0.2">
      <c r="E345" s="427"/>
      <c r="F345" s="427"/>
      <c r="G345" s="432"/>
    </row>
    <row r="346" spans="5:7" x14ac:dyDescent="0.2">
      <c r="E346" s="427"/>
      <c r="F346" s="427"/>
      <c r="G346" s="432"/>
    </row>
    <row r="347" spans="5:7" x14ac:dyDescent="0.2">
      <c r="E347" s="427"/>
      <c r="F347" s="427"/>
      <c r="G347" s="432"/>
    </row>
    <row r="348" spans="5:7" x14ac:dyDescent="0.2">
      <c r="E348" s="427"/>
      <c r="F348" s="427"/>
      <c r="G348" s="432"/>
    </row>
    <row r="349" spans="5:7" x14ac:dyDescent="0.2">
      <c r="E349" s="427"/>
      <c r="F349" s="427"/>
      <c r="G349" s="432"/>
    </row>
    <row r="350" spans="5:7" x14ac:dyDescent="0.2">
      <c r="E350" s="427"/>
      <c r="F350" s="427"/>
      <c r="G350" s="432"/>
    </row>
    <row r="351" spans="5:7" x14ac:dyDescent="0.2">
      <c r="E351" s="427"/>
      <c r="F351" s="427"/>
      <c r="G351" s="432"/>
    </row>
    <row r="352" spans="5:7" x14ac:dyDescent="0.2">
      <c r="E352" s="427"/>
      <c r="F352" s="427"/>
      <c r="G352" s="432"/>
    </row>
    <row r="353" spans="5:7" x14ac:dyDescent="0.2">
      <c r="E353" s="427"/>
      <c r="F353" s="427"/>
      <c r="G353" s="432"/>
    </row>
    <row r="354" spans="5:7" x14ac:dyDescent="0.2">
      <c r="E354" s="427"/>
      <c r="F354" s="427"/>
      <c r="G354" s="432"/>
    </row>
    <row r="355" spans="5:7" x14ac:dyDescent="0.2">
      <c r="E355" s="427"/>
      <c r="F355" s="427"/>
      <c r="G355" s="432"/>
    </row>
    <row r="356" spans="5:7" x14ac:dyDescent="0.2">
      <c r="E356" s="427"/>
      <c r="F356" s="427"/>
      <c r="G356" s="432"/>
    </row>
    <row r="357" spans="5:7" x14ac:dyDescent="0.2">
      <c r="E357" s="427"/>
      <c r="F357" s="427"/>
      <c r="G357" s="432"/>
    </row>
    <row r="358" spans="5:7" x14ac:dyDescent="0.2">
      <c r="E358" s="427"/>
      <c r="F358" s="427"/>
      <c r="G358" s="432"/>
    </row>
    <row r="359" spans="5:7" x14ac:dyDescent="0.2">
      <c r="E359" s="427"/>
      <c r="F359" s="427"/>
      <c r="G359" s="432"/>
    </row>
    <row r="360" spans="5:7" x14ac:dyDescent="0.2">
      <c r="E360" s="427"/>
      <c r="F360" s="427"/>
      <c r="G360" s="432"/>
    </row>
    <row r="361" spans="5:7" x14ac:dyDescent="0.2">
      <c r="E361" s="427"/>
      <c r="F361" s="427"/>
      <c r="G361" s="432"/>
    </row>
    <row r="362" spans="5:7" x14ac:dyDescent="0.2">
      <c r="E362" s="427"/>
      <c r="F362" s="427"/>
      <c r="G362" s="432"/>
    </row>
    <row r="363" spans="5:7" x14ac:dyDescent="0.2">
      <c r="E363" s="427"/>
      <c r="F363" s="427"/>
      <c r="G363" s="432"/>
    </row>
    <row r="364" spans="5:7" x14ac:dyDescent="0.2">
      <c r="E364" s="427"/>
      <c r="F364" s="427"/>
      <c r="G364" s="432"/>
    </row>
    <row r="365" spans="5:7" x14ac:dyDescent="0.2">
      <c r="E365" s="427"/>
      <c r="F365" s="427"/>
      <c r="G365" s="432"/>
    </row>
    <row r="366" spans="5:7" x14ac:dyDescent="0.2">
      <c r="E366" s="427"/>
      <c r="F366" s="427"/>
      <c r="G366" s="432"/>
    </row>
    <row r="367" spans="5:7" x14ac:dyDescent="0.2">
      <c r="E367" s="427"/>
      <c r="F367" s="427"/>
      <c r="G367" s="432"/>
    </row>
    <row r="368" spans="5:7" x14ac:dyDescent="0.2">
      <c r="E368" s="427"/>
      <c r="F368" s="427"/>
      <c r="G368" s="432"/>
    </row>
    <row r="369" spans="5:7" x14ac:dyDescent="0.2">
      <c r="E369" s="427"/>
      <c r="F369" s="427"/>
      <c r="G369" s="432"/>
    </row>
    <row r="370" spans="5:7" x14ac:dyDescent="0.2">
      <c r="E370" s="427"/>
      <c r="F370" s="427"/>
      <c r="G370" s="432"/>
    </row>
    <row r="371" spans="5:7" x14ac:dyDescent="0.2">
      <c r="E371" s="427"/>
      <c r="F371" s="427"/>
      <c r="G371" s="432"/>
    </row>
    <row r="372" spans="5:7" x14ac:dyDescent="0.2">
      <c r="E372" s="427"/>
      <c r="F372" s="427"/>
      <c r="G372" s="432"/>
    </row>
    <row r="373" spans="5:7" x14ac:dyDescent="0.2">
      <c r="E373" s="427"/>
      <c r="F373" s="427"/>
      <c r="G373" s="432"/>
    </row>
    <row r="374" spans="5:7" x14ac:dyDescent="0.2">
      <c r="E374" s="427"/>
      <c r="F374" s="427"/>
      <c r="G374" s="432"/>
    </row>
    <row r="375" spans="5:7" x14ac:dyDescent="0.2">
      <c r="E375" s="427"/>
      <c r="F375" s="427"/>
      <c r="G375" s="432"/>
    </row>
    <row r="376" spans="5:7" x14ac:dyDescent="0.2">
      <c r="E376" s="427"/>
      <c r="F376" s="427"/>
      <c r="G376" s="432"/>
    </row>
    <row r="377" spans="5:7" x14ac:dyDescent="0.2">
      <c r="E377" s="427"/>
      <c r="F377" s="427"/>
      <c r="G377" s="432"/>
    </row>
    <row r="378" spans="5:7" x14ac:dyDescent="0.2">
      <c r="E378" s="427"/>
      <c r="F378" s="427"/>
      <c r="G378" s="432"/>
    </row>
    <row r="379" spans="5:7" x14ac:dyDescent="0.2">
      <c r="E379" s="427"/>
      <c r="F379" s="427"/>
      <c r="G379" s="432"/>
    </row>
    <row r="380" spans="5:7" x14ac:dyDescent="0.2">
      <c r="E380" s="427"/>
      <c r="F380" s="427"/>
      <c r="G380" s="432"/>
    </row>
    <row r="381" spans="5:7" x14ac:dyDescent="0.2">
      <c r="E381" s="427"/>
      <c r="F381" s="427"/>
      <c r="G381" s="432"/>
    </row>
    <row r="382" spans="5:7" x14ac:dyDescent="0.2">
      <c r="E382" s="427"/>
      <c r="F382" s="427"/>
      <c r="G382" s="432"/>
    </row>
    <row r="383" spans="5:7" x14ac:dyDescent="0.2">
      <c r="E383" s="427"/>
      <c r="F383" s="427"/>
      <c r="G383" s="432"/>
    </row>
    <row r="384" spans="5:7" x14ac:dyDescent="0.2">
      <c r="E384" s="427"/>
      <c r="F384" s="427"/>
      <c r="G384" s="432"/>
    </row>
    <row r="385" spans="5:7" x14ac:dyDescent="0.2">
      <c r="E385" s="427"/>
      <c r="F385" s="427"/>
      <c r="G385" s="432"/>
    </row>
    <row r="386" spans="5:7" x14ac:dyDescent="0.2">
      <c r="E386" s="427"/>
      <c r="F386" s="427"/>
      <c r="G386" s="432"/>
    </row>
    <row r="387" spans="5:7" x14ac:dyDescent="0.2">
      <c r="E387" s="427"/>
      <c r="F387" s="427"/>
      <c r="G387" s="432"/>
    </row>
    <row r="388" spans="5:7" x14ac:dyDescent="0.2">
      <c r="E388" s="427"/>
      <c r="F388" s="427"/>
      <c r="G388" s="432"/>
    </row>
    <row r="389" spans="5:7" x14ac:dyDescent="0.2">
      <c r="E389" s="427"/>
      <c r="F389" s="427"/>
      <c r="G389" s="432"/>
    </row>
    <row r="390" spans="5:7" x14ac:dyDescent="0.2">
      <c r="E390" s="427"/>
      <c r="F390" s="427"/>
      <c r="G390" s="432"/>
    </row>
    <row r="391" spans="5:7" x14ac:dyDescent="0.2">
      <c r="E391" s="427"/>
      <c r="F391" s="427"/>
      <c r="G391" s="432"/>
    </row>
    <row r="392" spans="5:7" x14ac:dyDescent="0.2">
      <c r="E392" s="427"/>
      <c r="F392" s="427"/>
      <c r="G392" s="432"/>
    </row>
    <row r="393" spans="5:7" x14ac:dyDescent="0.2">
      <c r="E393" s="427"/>
      <c r="F393" s="427"/>
      <c r="G393" s="432"/>
    </row>
    <row r="394" spans="5:7" x14ac:dyDescent="0.2">
      <c r="E394" s="427"/>
      <c r="F394" s="427"/>
      <c r="G394" s="432"/>
    </row>
    <row r="395" spans="5:7" x14ac:dyDescent="0.2">
      <c r="E395" s="427"/>
      <c r="F395" s="427"/>
      <c r="G395" s="432"/>
    </row>
    <row r="396" spans="5:7" x14ac:dyDescent="0.2">
      <c r="E396" s="427"/>
      <c r="F396" s="427"/>
      <c r="G396" s="432"/>
    </row>
    <row r="397" spans="5:7" x14ac:dyDescent="0.2">
      <c r="E397" s="427"/>
      <c r="F397" s="427"/>
      <c r="G397" s="432"/>
    </row>
    <row r="398" spans="5:7" x14ac:dyDescent="0.2">
      <c r="E398" s="427"/>
      <c r="F398" s="427"/>
      <c r="G398" s="432"/>
    </row>
    <row r="399" spans="5:7" x14ac:dyDescent="0.2">
      <c r="E399" s="427"/>
      <c r="F399" s="427"/>
      <c r="G399" s="432"/>
    </row>
    <row r="400" spans="5:7" x14ac:dyDescent="0.2">
      <c r="E400" s="427"/>
      <c r="F400" s="427"/>
      <c r="G400" s="432"/>
    </row>
    <row r="401" spans="5:7" x14ac:dyDescent="0.2">
      <c r="E401" s="427"/>
      <c r="F401" s="427"/>
      <c r="G401" s="432"/>
    </row>
    <row r="402" spans="5:7" x14ac:dyDescent="0.2">
      <c r="E402" s="427"/>
      <c r="F402" s="427"/>
      <c r="G402" s="432"/>
    </row>
    <row r="403" spans="5:7" x14ac:dyDescent="0.2">
      <c r="E403" s="427"/>
      <c r="F403" s="427"/>
      <c r="G403" s="432"/>
    </row>
    <row r="404" spans="5:7" x14ac:dyDescent="0.2">
      <c r="E404" s="427"/>
      <c r="F404" s="427"/>
      <c r="G404" s="432"/>
    </row>
    <row r="405" spans="5:7" x14ac:dyDescent="0.2">
      <c r="E405" s="427"/>
      <c r="F405" s="427"/>
      <c r="G405" s="432"/>
    </row>
    <row r="406" spans="5:7" x14ac:dyDescent="0.2">
      <c r="E406" s="427"/>
      <c r="F406" s="427"/>
      <c r="G406" s="432"/>
    </row>
    <row r="407" spans="5:7" x14ac:dyDescent="0.2">
      <c r="E407" s="427"/>
      <c r="F407" s="427"/>
      <c r="G407" s="432"/>
    </row>
    <row r="408" spans="5:7" x14ac:dyDescent="0.2">
      <c r="E408" s="427"/>
      <c r="F408" s="427"/>
      <c r="G408" s="432"/>
    </row>
    <row r="409" spans="5:7" x14ac:dyDescent="0.2">
      <c r="E409" s="427"/>
      <c r="F409" s="427"/>
      <c r="G409" s="432"/>
    </row>
    <row r="410" spans="5:7" x14ac:dyDescent="0.2">
      <c r="E410" s="427"/>
      <c r="F410" s="427"/>
      <c r="G410" s="432"/>
    </row>
    <row r="411" spans="5:7" x14ac:dyDescent="0.2">
      <c r="E411" s="427"/>
      <c r="F411" s="427"/>
      <c r="G411" s="432"/>
    </row>
    <row r="412" spans="5:7" x14ac:dyDescent="0.2">
      <c r="E412" s="427"/>
      <c r="F412" s="427"/>
      <c r="G412" s="432"/>
    </row>
    <row r="413" spans="5:7" x14ac:dyDescent="0.2">
      <c r="E413" s="427"/>
      <c r="F413" s="427"/>
      <c r="G413" s="432"/>
    </row>
    <row r="414" spans="5:7" x14ac:dyDescent="0.2">
      <c r="E414" s="427"/>
      <c r="F414" s="427"/>
      <c r="G414" s="432"/>
    </row>
    <row r="415" spans="5:7" x14ac:dyDescent="0.2">
      <c r="E415" s="427"/>
      <c r="F415" s="427"/>
      <c r="G415" s="432"/>
    </row>
    <row r="416" spans="5:7" x14ac:dyDescent="0.2">
      <c r="E416" s="427"/>
      <c r="F416" s="427"/>
      <c r="G416" s="432"/>
    </row>
    <row r="417" spans="5:7" x14ac:dyDescent="0.2">
      <c r="E417" s="427"/>
      <c r="F417" s="427"/>
      <c r="G417" s="432"/>
    </row>
    <row r="418" spans="5:7" x14ac:dyDescent="0.2">
      <c r="E418" s="427"/>
      <c r="F418" s="427"/>
      <c r="G418" s="432"/>
    </row>
    <row r="419" spans="5:7" x14ac:dyDescent="0.2">
      <c r="E419" s="427"/>
      <c r="F419" s="427"/>
      <c r="G419" s="432"/>
    </row>
    <row r="420" spans="5:7" x14ac:dyDescent="0.2">
      <c r="E420" s="427"/>
      <c r="F420" s="427"/>
      <c r="G420" s="432"/>
    </row>
    <row r="421" spans="5:7" x14ac:dyDescent="0.2">
      <c r="E421" s="427"/>
      <c r="F421" s="427"/>
      <c r="G421" s="432"/>
    </row>
    <row r="422" spans="5:7" x14ac:dyDescent="0.2">
      <c r="E422" s="427"/>
      <c r="F422" s="427"/>
      <c r="G422" s="432"/>
    </row>
    <row r="423" spans="5:7" x14ac:dyDescent="0.2">
      <c r="E423" s="427"/>
      <c r="F423" s="427"/>
      <c r="G423" s="432"/>
    </row>
    <row r="424" spans="5:7" x14ac:dyDescent="0.2">
      <c r="E424" s="427"/>
      <c r="F424" s="427"/>
      <c r="G424" s="432"/>
    </row>
    <row r="425" spans="5:7" x14ac:dyDescent="0.2">
      <c r="E425" s="427"/>
      <c r="F425" s="427"/>
      <c r="G425" s="432"/>
    </row>
    <row r="426" spans="5:7" x14ac:dyDescent="0.2">
      <c r="E426" s="427"/>
      <c r="F426" s="427"/>
      <c r="G426" s="432"/>
    </row>
    <row r="427" spans="5:7" x14ac:dyDescent="0.2">
      <c r="E427" s="427"/>
      <c r="F427" s="427"/>
      <c r="G427" s="432"/>
    </row>
    <row r="428" spans="5:7" x14ac:dyDescent="0.2">
      <c r="E428" s="427"/>
      <c r="F428" s="427"/>
      <c r="G428" s="432"/>
    </row>
    <row r="429" spans="5:7" x14ac:dyDescent="0.2">
      <c r="E429" s="427"/>
      <c r="F429" s="427"/>
      <c r="G429" s="432"/>
    </row>
    <row r="430" spans="5:7" x14ac:dyDescent="0.2">
      <c r="E430" s="427"/>
      <c r="F430" s="427"/>
      <c r="G430" s="432"/>
    </row>
    <row r="431" spans="5:7" x14ac:dyDescent="0.2">
      <c r="E431" s="427"/>
      <c r="F431" s="427"/>
      <c r="G431" s="432"/>
    </row>
    <row r="432" spans="5:7" x14ac:dyDescent="0.2">
      <c r="E432" s="427"/>
      <c r="F432" s="427"/>
      <c r="G432" s="432"/>
    </row>
    <row r="433" spans="5:7" x14ac:dyDescent="0.2">
      <c r="E433" s="427"/>
      <c r="F433" s="427"/>
      <c r="G433" s="432"/>
    </row>
    <row r="434" spans="5:7" x14ac:dyDescent="0.2">
      <c r="E434" s="427"/>
      <c r="F434" s="427"/>
      <c r="G434" s="432"/>
    </row>
    <row r="435" spans="5:7" x14ac:dyDescent="0.2">
      <c r="E435" s="427"/>
      <c r="F435" s="427"/>
      <c r="G435" s="432"/>
    </row>
    <row r="436" spans="5:7" x14ac:dyDescent="0.2">
      <c r="E436" s="427"/>
      <c r="F436" s="427"/>
      <c r="G436" s="432"/>
    </row>
    <row r="437" spans="5:7" x14ac:dyDescent="0.2">
      <c r="E437" s="427"/>
      <c r="F437" s="427"/>
      <c r="G437" s="432"/>
    </row>
    <row r="438" spans="5:7" x14ac:dyDescent="0.2">
      <c r="E438" s="427"/>
      <c r="F438" s="427"/>
      <c r="G438" s="432"/>
    </row>
    <row r="439" spans="5:7" x14ac:dyDescent="0.2">
      <c r="E439" s="427"/>
      <c r="F439" s="427"/>
      <c r="G439" s="432"/>
    </row>
    <row r="440" spans="5:7" x14ac:dyDescent="0.2">
      <c r="E440" s="427"/>
      <c r="F440" s="427"/>
      <c r="G440" s="432"/>
    </row>
    <row r="441" spans="5:7" x14ac:dyDescent="0.2">
      <c r="E441" s="427"/>
      <c r="F441" s="427"/>
      <c r="G441" s="432"/>
    </row>
    <row r="442" spans="5:7" x14ac:dyDescent="0.2">
      <c r="E442" s="427"/>
      <c r="F442" s="427"/>
      <c r="G442" s="432"/>
    </row>
    <row r="443" spans="5:7" x14ac:dyDescent="0.2">
      <c r="E443" s="427"/>
      <c r="F443" s="427"/>
      <c r="G443" s="432"/>
    </row>
    <row r="444" spans="5:7" x14ac:dyDescent="0.2">
      <c r="E444" s="427"/>
      <c r="F444" s="427"/>
      <c r="G444" s="432"/>
    </row>
    <row r="445" spans="5:7" x14ac:dyDescent="0.2">
      <c r="E445" s="427"/>
      <c r="F445" s="427"/>
      <c r="G445" s="432"/>
    </row>
    <row r="446" spans="5:7" x14ac:dyDescent="0.2">
      <c r="E446" s="427"/>
      <c r="F446" s="427"/>
      <c r="G446" s="432"/>
    </row>
    <row r="447" spans="5:7" x14ac:dyDescent="0.2">
      <c r="E447" s="427"/>
      <c r="F447" s="427"/>
      <c r="G447" s="432"/>
    </row>
    <row r="448" spans="5:7" x14ac:dyDescent="0.2">
      <c r="E448" s="427"/>
      <c r="F448" s="427"/>
      <c r="G448" s="432"/>
    </row>
    <row r="449" spans="5:7" x14ac:dyDescent="0.2">
      <c r="E449" s="427"/>
      <c r="F449" s="427"/>
      <c r="G449" s="432"/>
    </row>
    <row r="450" spans="5:7" x14ac:dyDescent="0.2">
      <c r="E450" s="427"/>
      <c r="F450" s="427"/>
      <c r="G450" s="432"/>
    </row>
    <row r="451" spans="5:7" x14ac:dyDescent="0.2">
      <c r="E451" s="427"/>
      <c r="F451" s="427"/>
      <c r="G451" s="432"/>
    </row>
    <row r="452" spans="5:7" x14ac:dyDescent="0.2">
      <c r="E452" s="427"/>
      <c r="F452" s="427"/>
      <c r="G452" s="432"/>
    </row>
    <row r="453" spans="5:7" x14ac:dyDescent="0.2">
      <c r="E453" s="427"/>
      <c r="F453" s="427"/>
      <c r="G453" s="432"/>
    </row>
    <row r="454" spans="5:7" x14ac:dyDescent="0.2">
      <c r="E454" s="427"/>
      <c r="F454" s="427"/>
      <c r="G454" s="432"/>
    </row>
    <row r="455" spans="5:7" x14ac:dyDescent="0.2">
      <c r="E455" s="427"/>
      <c r="F455" s="427"/>
      <c r="G455" s="432"/>
    </row>
    <row r="456" spans="5:7" x14ac:dyDescent="0.2">
      <c r="E456" s="427"/>
      <c r="F456" s="427"/>
      <c r="G456" s="432"/>
    </row>
    <row r="457" spans="5:7" x14ac:dyDescent="0.2">
      <c r="E457" s="427"/>
      <c r="F457" s="427"/>
      <c r="G457" s="432"/>
    </row>
    <row r="458" spans="5:7" x14ac:dyDescent="0.2">
      <c r="E458" s="427"/>
      <c r="F458" s="427"/>
      <c r="G458" s="432"/>
    </row>
  </sheetData>
  <mergeCells count="3">
    <mergeCell ref="E4:F4"/>
    <mergeCell ref="J2:P2"/>
    <mergeCell ref="C2: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43"/>
  <sheetViews>
    <sheetView workbookViewId="0">
      <selection activeCell="E32" sqref="E32"/>
    </sheetView>
  </sheetViews>
  <sheetFormatPr defaultColWidth="8.85546875" defaultRowHeight="12.75" x14ac:dyDescent="0.2"/>
  <cols>
    <col min="3" max="3" width="51.7109375" customWidth="1"/>
  </cols>
  <sheetData>
    <row r="1" spans="3:3" ht="15.75" x14ac:dyDescent="0.2">
      <c r="C1" s="690" t="s">
        <v>840</v>
      </c>
    </row>
    <row r="2" spans="3:3" x14ac:dyDescent="0.2">
      <c r="C2" s="446"/>
    </row>
    <row r="3" spans="3:3" x14ac:dyDescent="0.2">
      <c r="C3" s="448" t="s">
        <v>603</v>
      </c>
    </row>
    <row r="5" spans="3:3" x14ac:dyDescent="0.2">
      <c r="C5" s="448" t="s">
        <v>604</v>
      </c>
    </row>
    <row r="6" spans="3:3" x14ac:dyDescent="0.2">
      <c r="C6" s="448" t="s">
        <v>605</v>
      </c>
    </row>
    <row r="7" spans="3:3" x14ac:dyDescent="0.2">
      <c r="C7" s="448" t="s">
        <v>606</v>
      </c>
    </row>
    <row r="8" spans="3:3" x14ac:dyDescent="0.2">
      <c r="C8" s="448" t="s">
        <v>607</v>
      </c>
    </row>
    <row r="9" spans="3:3" x14ac:dyDescent="0.2">
      <c r="C9" s="448" t="s">
        <v>608</v>
      </c>
    </row>
    <row r="10" spans="3:3" ht="15" x14ac:dyDescent="0.2">
      <c r="C10" s="447"/>
    </row>
    <row r="11" spans="3:3" x14ac:dyDescent="0.2">
      <c r="C11" s="448" t="s">
        <v>609</v>
      </c>
    </row>
    <row r="12" spans="3:3" x14ac:dyDescent="0.2">
      <c r="C12" s="448" t="s">
        <v>610</v>
      </c>
    </row>
    <row r="13" spans="3:3" x14ac:dyDescent="0.2">
      <c r="C13" s="448" t="s">
        <v>611</v>
      </c>
    </row>
    <row r="14" spans="3:3" ht="15" x14ac:dyDescent="0.2">
      <c r="C14" s="447"/>
    </row>
    <row r="15" spans="3:3" x14ac:dyDescent="0.2">
      <c r="C15" s="448" t="s">
        <v>612</v>
      </c>
    </row>
    <row r="16" spans="3:3" ht="15" x14ac:dyDescent="0.2">
      <c r="C16" s="447"/>
    </row>
    <row r="17" spans="3:8" x14ac:dyDescent="0.2">
      <c r="C17" s="448" t="s">
        <v>613</v>
      </c>
    </row>
    <row r="18" spans="3:8" x14ac:dyDescent="0.2">
      <c r="C18" s="446"/>
    </row>
    <row r="19" spans="3:8" x14ac:dyDescent="0.2">
      <c r="C19" s="448" t="s">
        <v>614</v>
      </c>
    </row>
    <row r="20" spans="3:8" ht="15.75" x14ac:dyDescent="0.25">
      <c r="C20" s="447"/>
      <c r="H20" s="691" t="s">
        <v>630</v>
      </c>
    </row>
    <row r="21" spans="3:8" x14ac:dyDescent="0.2">
      <c r="C21" s="448" t="s">
        <v>615</v>
      </c>
      <c r="H21" s="18" t="s">
        <v>841</v>
      </c>
    </row>
    <row r="22" spans="3:8" ht="15" x14ac:dyDescent="0.2">
      <c r="C22" s="447"/>
    </row>
    <row r="23" spans="3:8" x14ac:dyDescent="0.2">
      <c r="C23" s="448" t="s">
        <v>616</v>
      </c>
    </row>
    <row r="24" spans="3:8" ht="15" x14ac:dyDescent="0.2">
      <c r="C24" s="447"/>
    </row>
    <row r="25" spans="3:8" x14ac:dyDescent="0.2">
      <c r="C25" s="448" t="s">
        <v>617</v>
      </c>
    </row>
    <row r="26" spans="3:8" x14ac:dyDescent="0.2">
      <c r="C26" s="448" t="s">
        <v>618</v>
      </c>
    </row>
    <row r="27" spans="3:8" x14ac:dyDescent="0.2">
      <c r="C27" s="448" t="s">
        <v>619</v>
      </c>
    </row>
    <row r="28" spans="3:8" x14ac:dyDescent="0.2">
      <c r="C28" s="448" t="s">
        <v>620</v>
      </c>
    </row>
    <row r="29" spans="3:8" ht="15" x14ac:dyDescent="0.2">
      <c r="C29" s="447"/>
    </row>
    <row r="30" spans="3:8" x14ac:dyDescent="0.2">
      <c r="C30" s="448" t="s">
        <v>621</v>
      </c>
    </row>
    <row r="31" spans="3:8" x14ac:dyDescent="0.2">
      <c r="C31" s="448" t="s">
        <v>622</v>
      </c>
    </row>
    <row r="32" spans="3:8" x14ac:dyDescent="0.2">
      <c r="C32" s="448" t="s">
        <v>623</v>
      </c>
    </row>
    <row r="33" spans="3:3" ht="15" x14ac:dyDescent="0.2">
      <c r="C33" s="447"/>
    </row>
    <row r="34" spans="3:3" x14ac:dyDescent="0.2">
      <c r="C34" s="448" t="s">
        <v>624</v>
      </c>
    </row>
    <row r="35" spans="3:3" ht="15" x14ac:dyDescent="0.2">
      <c r="C35" s="447"/>
    </row>
    <row r="36" spans="3:3" x14ac:dyDescent="0.2">
      <c r="C36" s="448" t="s">
        <v>625</v>
      </c>
    </row>
    <row r="37" spans="3:3" x14ac:dyDescent="0.2">
      <c r="C37" s="448" t="s">
        <v>626</v>
      </c>
    </row>
    <row r="38" spans="3:3" x14ac:dyDescent="0.2">
      <c r="C38" s="448" t="s">
        <v>627</v>
      </c>
    </row>
    <row r="39" spans="3:3" x14ac:dyDescent="0.2">
      <c r="C39" s="448" t="s">
        <v>628</v>
      </c>
    </row>
    <row r="40" spans="3:3" x14ac:dyDescent="0.2">
      <c r="C40" s="448" t="s">
        <v>629</v>
      </c>
    </row>
    <row r="41" spans="3:3" ht="15" x14ac:dyDescent="0.2">
      <c r="C41" s="447"/>
    </row>
    <row r="42" spans="3:3" x14ac:dyDescent="0.2">
      <c r="C42" s="446"/>
    </row>
    <row r="43" spans="3:3" x14ac:dyDescent="0.2">
      <c r="C43" s="446"/>
    </row>
  </sheetData>
  <hyperlinks>
    <hyperlink ref="C3" r:id="rId1" display="http://archive.org/search.php?query=collection%3A%22toronto%22+AND+%28ontario+hydro+yearbook+AND+collection%3Atoronto%29&amp;sort=date"/>
    <hyperlink ref="C5" r:id="rId2" tooltip="ONTARIO HYDRO STATISTICAL YEARBOOK 1971" display="http://archive.org/details/ontariohydrostat1971onta"/>
    <hyperlink ref="C6" r:id="rId3" tooltip="ONTARIO HYDRO STATISTICAL YEARBOOK 1973" display="http://archive.org/details/ontariohydrostat1973onta"/>
    <hyperlink ref="C7" r:id="rId4" tooltip="ONTARIO HYDRO STATISTICAL YEARBOOK 1974" display="http://archive.org/details/ontariohydrostat1974onta"/>
    <hyperlink ref="C8" r:id="rId5" tooltip="ONTARIO HYDRO STATISTICAL YEARBOOK 1975" display="http://archive.org/details/ontariohydrostat1975onta"/>
    <hyperlink ref="C9" r:id="rId6" tooltip="ONTARIO HYDRO STATISTICAL YEARBOOK 1976" display="http://archive.org/details/ontariohydrostat1976onta"/>
    <hyperlink ref="C11" r:id="rId7" tooltip="ONTARIO HYDRO STATISTICAL YEARBOOK 1977" display="http://archive.org/details/ontariohydrostat1977onta"/>
    <hyperlink ref="C12" r:id="rId8" tooltip="ONTARIO HYDRO STATISTICAL YEARBOOK 1978" display="http://archive.org/details/ontariohydrostat1978onta"/>
    <hyperlink ref="C13" r:id="rId9" tooltip="ONTARIO HYDRO STATISTICAL YEARBOOK 1979" display="http://archive.org/details/ontariohydrostat1979onta"/>
    <hyperlink ref="C15" r:id="rId10" tooltip="ONTARIO HYDRO STATISTICAL YEARBOOK 1980" display="http://archive.org/details/ontariohydrostat1980onta"/>
    <hyperlink ref="C17" r:id="rId11" tooltip="ONTARIO HYDRO STATISTICAL YEARBOOK 1981" display="http://archive.org/details/ontariohydrostat1981onta"/>
    <hyperlink ref="C19" r:id="rId12" tooltip="ONTARIO HYDRO STATISTICAL YEARBOOK 1982" display="http://archive.org/details/ontariohydrostat1982onta"/>
    <hyperlink ref="C21" r:id="rId13" tooltip="ONTARIO HYDRO STATISTICAL YEARBOOK 1983" display="http://archive.org/details/ontariohydrostat1983onta"/>
    <hyperlink ref="C23" r:id="rId14" tooltip="ONTARIO HYDRO STATISTICAL YEARBOOK 1984" display="http://archive.org/details/ontariohydrostat1984onta"/>
    <hyperlink ref="C25" r:id="rId15" tooltip="ONTARIO HYDRO STATISTICAL YEARBOOK 1985" display="http://archive.org/details/ontariohydrostat1985onta"/>
    <hyperlink ref="C26" r:id="rId16" tooltip="ONTARIO HYDRO STATISTICAL YEARBOOK 1986" display="http://archive.org/details/ontariohydrostat1986onta"/>
    <hyperlink ref="C27" r:id="rId17" tooltip="ONTARIO HYDRO STATISTICAL YEARBOOK 1987" display="http://archive.org/details/ontariohydrostat1987onta"/>
    <hyperlink ref="C28" r:id="rId18" tooltip="ONTARIO HYDRO STATISTICAL YEARBOOK 1988" display="http://archive.org/details/ontariohydrostat1988onta"/>
    <hyperlink ref="C30" r:id="rId19" tooltip="ONTARIO HYDRO STATISTICAL YEARBOOK 1989" display="http://archive.org/details/ontariohydrostat1989onta"/>
    <hyperlink ref="C31" r:id="rId20" tooltip="ONTARIO HYDRO STATISTICAL YEARBOOK 1990" display="http://archive.org/details/ontariohydrostat1990onta"/>
    <hyperlink ref="C32" r:id="rId21" tooltip="ONTARIO HYDRO STATISTICAL YEARBOOK 1991" display="http://archive.org/details/ontariohydrostat1991onta"/>
    <hyperlink ref="C34" r:id="rId22" tooltip="ONTARIO HYDRO STATISTICAL YEARBOOK 1992" display="http://archive.org/details/ontariohydrostat1992onta"/>
    <hyperlink ref="C36" r:id="rId23" tooltip="ONTARIO HYDRO STATISTICAL YEARBOOK 1993" display="http://archive.org/details/ontariohydrostat1993onta"/>
    <hyperlink ref="C37" r:id="rId24" tooltip="ONTARIO HYDRO STATISTICAL YEARBOOK 1994" display="http://archive.org/details/ontariohydrostat1994onta"/>
    <hyperlink ref="C38" r:id="rId25" tooltip="ONTARIO HYDRO STATISTICAL YEARBOOK 1995" display="http://archive.org/details/ontariohydrostat1995onta"/>
    <hyperlink ref="C39" r:id="rId26" tooltip="ONTARIO HYDRO STATISTICAL YEARBOOK 1996" display="http://archive.org/details/ontariohydrostat1996onta"/>
    <hyperlink ref="C40" r:id="rId27" tooltip="ONTARIO HYDRO STATISTICAL YEARBOOK 1997" display="http://archive.org/details/ontariohydrostat1997onta"/>
  </hyperlinks>
  <pageMargins left="0.7" right="0.7" top="0.75" bottom="0.75" header="0.3" footer="0.3"/>
  <drawing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Q27" sqref="Q27"/>
    </sheetView>
  </sheetViews>
  <sheetFormatPr defaultColWidth="9.140625" defaultRowHeight="15" x14ac:dyDescent="0.25"/>
  <cols>
    <col min="1" max="16384" width="9.140625" style="551"/>
  </cols>
  <sheetData>
    <row r="1" spans="1:39" x14ac:dyDescent="0.25">
      <c r="A1" s="551" t="s">
        <v>753</v>
      </c>
    </row>
    <row r="2" spans="1:39" x14ac:dyDescent="0.25">
      <c r="A2" s="551" t="s">
        <v>754</v>
      </c>
    </row>
    <row r="3" spans="1:39" x14ac:dyDescent="0.25">
      <c r="A3" s="551" t="s">
        <v>755</v>
      </c>
    </row>
    <row r="4" spans="1:39" x14ac:dyDescent="0.25">
      <c r="A4" s="551" t="s">
        <v>756</v>
      </c>
      <c r="B4" s="551" t="s">
        <v>15</v>
      </c>
      <c r="C4" s="551" t="s">
        <v>757</v>
      </c>
      <c r="D4" s="551">
        <v>1981</v>
      </c>
      <c r="E4" s="551">
        <v>1982</v>
      </c>
      <c r="F4" s="551">
        <v>1983</v>
      </c>
      <c r="G4" s="551">
        <v>1984</v>
      </c>
      <c r="H4" s="551">
        <v>1985</v>
      </c>
      <c r="I4" s="551">
        <v>1986</v>
      </c>
      <c r="J4" s="551">
        <v>1987</v>
      </c>
      <c r="K4" s="551">
        <v>1988</v>
      </c>
      <c r="L4" s="551">
        <v>1989</v>
      </c>
      <c r="M4" s="551">
        <v>1990</v>
      </c>
      <c r="N4" s="551">
        <v>1991</v>
      </c>
      <c r="O4" s="551">
        <v>1992</v>
      </c>
      <c r="P4" s="551">
        <v>1993</v>
      </c>
      <c r="Q4" s="551">
        <v>1994</v>
      </c>
      <c r="R4" s="551">
        <v>1995</v>
      </c>
      <c r="S4" s="551">
        <v>1996</v>
      </c>
      <c r="T4" s="551">
        <v>1997</v>
      </c>
      <c r="U4" s="551">
        <v>1998</v>
      </c>
      <c r="V4" s="551">
        <v>1999</v>
      </c>
      <c r="W4" s="551">
        <v>2000</v>
      </c>
      <c r="X4" s="551">
        <v>2001</v>
      </c>
      <c r="Y4" s="551">
        <v>2002</v>
      </c>
      <c r="Z4" s="551">
        <v>2003</v>
      </c>
      <c r="AA4" s="551">
        <v>2004</v>
      </c>
      <c r="AB4" s="551">
        <v>2005</v>
      </c>
      <c r="AC4" s="551">
        <v>2006</v>
      </c>
      <c r="AD4" s="551">
        <v>2007</v>
      </c>
      <c r="AE4" s="551">
        <v>2008</v>
      </c>
      <c r="AF4" s="551">
        <v>2009</v>
      </c>
      <c r="AG4" s="551">
        <v>2010</v>
      </c>
      <c r="AH4" s="551">
        <v>2011</v>
      </c>
      <c r="AI4" s="551">
        <v>2012</v>
      </c>
      <c r="AJ4" s="551">
        <v>2013</v>
      </c>
      <c r="AK4" s="551">
        <v>2014</v>
      </c>
      <c r="AL4" s="551">
        <v>2015</v>
      </c>
      <c r="AM4" s="551">
        <v>2016</v>
      </c>
    </row>
    <row r="5" spans="1:39" x14ac:dyDescent="0.25">
      <c r="A5" s="551" t="s">
        <v>111</v>
      </c>
      <c r="B5" s="551" t="s">
        <v>758</v>
      </c>
      <c r="C5" s="551" t="s">
        <v>759</v>
      </c>
      <c r="D5" s="551">
        <v>47.5</v>
      </c>
      <c r="E5" s="551">
        <v>52</v>
      </c>
      <c r="F5" s="551">
        <v>54.9</v>
      </c>
      <c r="G5" s="551">
        <v>57.2</v>
      </c>
      <c r="H5" s="551">
        <v>59.3</v>
      </c>
      <c r="I5" s="551">
        <v>61.6</v>
      </c>
      <c r="J5" s="551">
        <v>64.2</v>
      </c>
      <c r="K5" s="551">
        <v>66.599999999999994</v>
      </c>
      <c r="L5" s="551">
        <v>69.599999999999994</v>
      </c>
      <c r="M5" s="551">
        <v>72.3</v>
      </c>
      <c r="N5" s="551">
        <v>74.7</v>
      </c>
      <c r="O5" s="551">
        <v>76.2</v>
      </c>
      <c r="P5" s="551">
        <v>77.599999999999994</v>
      </c>
      <c r="Q5" s="551">
        <v>78.900000000000006</v>
      </c>
      <c r="R5" s="551">
        <v>79.8</v>
      </c>
      <c r="S5" s="551">
        <v>80.8</v>
      </c>
      <c r="T5" s="551">
        <v>82</v>
      </c>
      <c r="U5" s="551">
        <v>83.2</v>
      </c>
      <c r="V5" s="551">
        <v>84.3</v>
      </c>
      <c r="W5" s="551">
        <v>86.5</v>
      </c>
      <c r="X5" s="551">
        <v>88.2</v>
      </c>
      <c r="Y5" s="551">
        <v>90.3</v>
      </c>
      <c r="Z5" s="551">
        <v>91.8</v>
      </c>
      <c r="AA5" s="551">
        <v>93.4</v>
      </c>
      <c r="AB5" s="551">
        <v>95.4</v>
      </c>
      <c r="AC5" s="551">
        <v>97.6</v>
      </c>
      <c r="AD5" s="551">
        <v>100</v>
      </c>
      <c r="AE5" s="551">
        <v>102.6</v>
      </c>
      <c r="AF5" s="551">
        <v>103.7</v>
      </c>
      <c r="AG5" s="551">
        <v>104.8</v>
      </c>
      <c r="AH5" s="551">
        <v>107.3</v>
      </c>
      <c r="AI5" s="551">
        <v>109.1</v>
      </c>
      <c r="AJ5" s="551">
        <v>111</v>
      </c>
      <c r="AK5" s="551">
        <v>113.4</v>
      </c>
      <c r="AL5" s="551">
        <v>115.2</v>
      </c>
    </row>
    <row r="6" spans="1:39" x14ac:dyDescent="0.25">
      <c r="A6" s="551" t="s">
        <v>299</v>
      </c>
    </row>
    <row r="7" spans="1:39" x14ac:dyDescent="0.25">
      <c r="A7" s="551" t="s">
        <v>760</v>
      </c>
    </row>
    <row r="8" spans="1:39" x14ac:dyDescent="0.25">
      <c r="A8" s="551" t="s">
        <v>761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workbookViewId="0">
      <selection activeCell="G32" sqref="G32"/>
    </sheetView>
  </sheetViews>
  <sheetFormatPr defaultColWidth="20.7109375" defaultRowHeight="12.75" x14ac:dyDescent="0.2"/>
  <cols>
    <col min="1" max="1" width="20.7109375" style="476" customWidth="1"/>
    <col min="2" max="16384" width="20.7109375" style="476"/>
  </cols>
  <sheetData>
    <row r="1" spans="1:7" x14ac:dyDescent="0.2">
      <c r="A1" s="476" t="s">
        <v>722</v>
      </c>
    </row>
    <row r="2" spans="1:7" x14ac:dyDescent="0.2">
      <c r="A2" s="476" t="s">
        <v>723</v>
      </c>
    </row>
    <row r="3" spans="1:7" x14ac:dyDescent="0.2">
      <c r="A3" s="476" t="s">
        <v>724</v>
      </c>
    </row>
    <row r="4" spans="1:7" x14ac:dyDescent="0.2">
      <c r="A4" s="476" t="s">
        <v>725</v>
      </c>
    </row>
    <row r="5" spans="1:7" x14ac:dyDescent="0.2">
      <c r="A5" s="476" t="s">
        <v>726</v>
      </c>
    </row>
    <row r="6" spans="1:7" x14ac:dyDescent="0.2">
      <c r="A6" s="476" t="s">
        <v>727</v>
      </c>
    </row>
    <row r="8" spans="1:7" x14ac:dyDescent="0.2">
      <c r="A8" s="476" t="s">
        <v>728</v>
      </c>
      <c r="B8" s="476" t="s">
        <v>729</v>
      </c>
    </row>
    <row r="10" spans="1:7" x14ac:dyDescent="0.2">
      <c r="A10" s="476" t="s">
        <v>730</v>
      </c>
    </row>
    <row r="11" spans="1:7" x14ac:dyDescent="0.2">
      <c r="A11" s="476" t="s">
        <v>731</v>
      </c>
      <c r="B11" s="476" t="s">
        <v>728</v>
      </c>
    </row>
    <row r="12" spans="1:7" x14ac:dyDescent="0.2">
      <c r="A12" s="531">
        <v>22282</v>
      </c>
      <c r="B12" s="532">
        <v>12.359466805045599</v>
      </c>
    </row>
    <row r="13" spans="1:7" x14ac:dyDescent="0.2">
      <c r="A13" s="531">
        <v>22372</v>
      </c>
      <c r="B13" s="532">
        <v>12.3404442953581</v>
      </c>
    </row>
    <row r="14" spans="1:7" x14ac:dyDescent="0.2">
      <c r="A14" s="531">
        <v>22463</v>
      </c>
      <c r="B14" s="532">
        <v>12.378384877738601</v>
      </c>
    </row>
    <row r="15" spans="1:7" x14ac:dyDescent="0.2">
      <c r="A15" s="531">
        <v>22555</v>
      </c>
      <c r="B15" s="532">
        <v>12.4454652873368</v>
      </c>
      <c r="C15" s="533">
        <f>AVERAGE(B12:B15)</f>
        <v>12.380940316369776</v>
      </c>
      <c r="D15" s="476">
        <v>1961</v>
      </c>
      <c r="F15" s="476">
        <v>12.380940316369776</v>
      </c>
      <c r="G15" s="476">
        <v>1961</v>
      </c>
    </row>
    <row r="16" spans="1:7" x14ac:dyDescent="0.2">
      <c r="A16" s="531">
        <v>22647</v>
      </c>
      <c r="B16" s="532">
        <v>12.4660707382527</v>
      </c>
      <c r="F16" s="476">
        <v>12.552752444813651</v>
      </c>
      <c r="G16" s="476">
        <v>1962</v>
      </c>
    </row>
    <row r="17" spans="1:7" x14ac:dyDescent="0.2">
      <c r="A17" s="531">
        <v>22737</v>
      </c>
      <c r="B17" s="532">
        <v>12.513490682520599</v>
      </c>
      <c r="F17" s="476">
        <v>12.798640104548426</v>
      </c>
      <c r="G17" s="476">
        <v>1963</v>
      </c>
    </row>
    <row r="18" spans="1:7" x14ac:dyDescent="0.2">
      <c r="A18" s="531">
        <v>22828</v>
      </c>
      <c r="B18" s="532">
        <v>12.5979753100422</v>
      </c>
      <c r="F18" s="476">
        <v>13.171266020397299</v>
      </c>
      <c r="G18" s="476">
        <v>1964</v>
      </c>
    </row>
    <row r="19" spans="1:7" x14ac:dyDescent="0.2">
      <c r="A19" s="531">
        <v>22920</v>
      </c>
      <c r="B19" s="532">
        <v>12.6334730484391</v>
      </c>
      <c r="C19" s="533">
        <f>AVERAGE(B16:B19)</f>
        <v>12.552752444813651</v>
      </c>
      <c r="D19" s="476">
        <f>D15+1</f>
        <v>1962</v>
      </c>
      <c r="F19" s="476">
        <v>13.648977595028949</v>
      </c>
      <c r="G19" s="476">
        <v>1965</v>
      </c>
    </row>
    <row r="20" spans="1:7" x14ac:dyDescent="0.2">
      <c r="A20" s="531">
        <v>23012</v>
      </c>
      <c r="B20" s="532">
        <v>12.6559238279246</v>
      </c>
      <c r="F20" s="476">
        <v>14.321579735050173</v>
      </c>
      <c r="G20" s="476">
        <v>1966</v>
      </c>
    </row>
    <row r="21" spans="1:7" x14ac:dyDescent="0.2">
      <c r="A21" s="531">
        <v>23102</v>
      </c>
      <c r="B21" s="532">
        <v>12.729093161386899</v>
      </c>
      <c r="F21" s="476">
        <v>14.963958936933276</v>
      </c>
      <c r="G21" s="476">
        <v>1967</v>
      </c>
    </row>
    <row r="22" spans="1:7" x14ac:dyDescent="0.2">
      <c r="A22" s="531">
        <v>23193</v>
      </c>
      <c r="B22" s="532">
        <v>12.8492070829454</v>
      </c>
      <c r="F22" s="476">
        <v>15.583577950958549</v>
      </c>
      <c r="G22" s="476">
        <v>1968</v>
      </c>
    </row>
    <row r="23" spans="1:7" x14ac:dyDescent="0.2">
      <c r="A23" s="531">
        <v>23285</v>
      </c>
      <c r="B23" s="532">
        <v>12.960336345936801</v>
      </c>
      <c r="C23" s="533">
        <f>AVERAGE(B20:B23)</f>
        <v>12.798640104548426</v>
      </c>
      <c r="D23" s="476">
        <f>D19+1</f>
        <v>1963</v>
      </c>
      <c r="F23" s="476">
        <v>16.336807160758553</v>
      </c>
      <c r="G23" s="476">
        <v>1969</v>
      </c>
    </row>
    <row r="24" spans="1:7" x14ac:dyDescent="0.2">
      <c r="A24" s="531">
        <v>23377</v>
      </c>
      <c r="B24" s="532">
        <v>12.951363831964199</v>
      </c>
      <c r="F24" s="476">
        <v>17.059743783688674</v>
      </c>
      <c r="G24" s="476">
        <v>1970</v>
      </c>
    </row>
    <row r="25" spans="1:7" x14ac:dyDescent="0.2">
      <c r="A25" s="531">
        <v>23468</v>
      </c>
      <c r="B25" s="532">
        <v>13.1226383547754</v>
      </c>
      <c r="F25" s="476">
        <v>17.879893647016953</v>
      </c>
      <c r="G25" s="476">
        <v>1971</v>
      </c>
    </row>
    <row r="26" spans="1:7" x14ac:dyDescent="0.2">
      <c r="A26" s="531">
        <v>23559</v>
      </c>
      <c r="B26" s="532">
        <v>13.256648925517901</v>
      </c>
      <c r="F26" s="476">
        <v>18.934577869143325</v>
      </c>
      <c r="G26" s="476">
        <v>1972</v>
      </c>
    </row>
    <row r="27" spans="1:7" x14ac:dyDescent="0.2">
      <c r="A27" s="531">
        <v>23651</v>
      </c>
      <c r="B27" s="532">
        <v>13.354412969331699</v>
      </c>
      <c r="C27" s="533">
        <f>AVERAGE(B24:B27)</f>
        <v>13.171266020397299</v>
      </c>
      <c r="D27" s="476">
        <f>D23+1</f>
        <v>1964</v>
      </c>
      <c r="F27" s="476">
        <v>20.765673771835601</v>
      </c>
      <c r="G27" s="476">
        <v>1973</v>
      </c>
    </row>
    <row r="28" spans="1:7" x14ac:dyDescent="0.2">
      <c r="A28" s="531">
        <v>23743</v>
      </c>
      <c r="B28" s="532">
        <v>13.405839454208399</v>
      </c>
      <c r="F28" s="476">
        <v>23.928685659385</v>
      </c>
      <c r="G28" s="476">
        <v>1974</v>
      </c>
    </row>
    <row r="29" spans="1:7" x14ac:dyDescent="0.2">
      <c r="A29" s="531">
        <v>23833</v>
      </c>
      <c r="B29" s="532">
        <v>13.598281915398299</v>
      </c>
      <c r="F29" s="476">
        <v>26.482882406313053</v>
      </c>
      <c r="G29" s="476">
        <v>1975</v>
      </c>
    </row>
    <row r="30" spans="1:7" x14ac:dyDescent="0.2">
      <c r="A30" s="531">
        <v>23924</v>
      </c>
      <c r="B30" s="532">
        <v>13.7268757777089</v>
      </c>
      <c r="F30" s="476">
        <v>29.002184333819503</v>
      </c>
      <c r="G30" s="476">
        <v>1976</v>
      </c>
    </row>
    <row r="31" spans="1:7" x14ac:dyDescent="0.2">
      <c r="A31" s="531">
        <v>24016</v>
      </c>
      <c r="B31" s="532">
        <v>13.8649132328002</v>
      </c>
      <c r="C31" s="533">
        <f>AVERAGE(B28:B31)</f>
        <v>13.648977595028949</v>
      </c>
      <c r="D31" s="476">
        <f>D27+1</f>
        <v>1965</v>
      </c>
      <c r="F31" s="476">
        <v>30.974664648672299</v>
      </c>
      <c r="G31" s="476">
        <v>1977</v>
      </c>
    </row>
    <row r="32" spans="1:7" x14ac:dyDescent="0.2">
      <c r="A32" s="531">
        <v>24108</v>
      </c>
      <c r="B32" s="532">
        <v>14.061974549912099</v>
      </c>
      <c r="F32" s="476">
        <v>33.017792224904397</v>
      </c>
      <c r="G32" s="476">
        <v>1978</v>
      </c>
    </row>
    <row r="33" spans="1:7" x14ac:dyDescent="0.2">
      <c r="A33" s="531">
        <v>24198</v>
      </c>
      <c r="B33" s="532">
        <v>14.2468435270822</v>
      </c>
      <c r="F33" s="476">
        <v>36.312197431701271</v>
      </c>
      <c r="G33" s="476">
        <v>1979</v>
      </c>
    </row>
    <row r="34" spans="1:7" x14ac:dyDescent="0.2">
      <c r="A34" s="531">
        <v>24289</v>
      </c>
      <c r="B34" s="532">
        <v>14.444172250024</v>
      </c>
      <c r="F34" s="476">
        <v>39.976923708578397</v>
      </c>
      <c r="G34" s="476">
        <v>1980</v>
      </c>
    </row>
    <row r="35" spans="1:7" x14ac:dyDescent="0.2">
      <c r="A35" s="531">
        <v>24381</v>
      </c>
      <c r="B35" s="532">
        <v>14.5333286131824</v>
      </c>
      <c r="C35" s="533">
        <f>AVERAGE(B32:B35)</f>
        <v>14.321579735050173</v>
      </c>
      <c r="D35" s="476">
        <f>D31+1</f>
        <v>1966</v>
      </c>
      <c r="F35" s="476">
        <v>44.290632207729196</v>
      </c>
      <c r="G35" s="476">
        <v>1981</v>
      </c>
    </row>
    <row r="36" spans="1:7" x14ac:dyDescent="0.2">
      <c r="A36" s="531">
        <v>24473</v>
      </c>
      <c r="B36" s="532">
        <v>14.755491907101399</v>
      </c>
      <c r="F36" s="476">
        <v>48.188975803176127</v>
      </c>
      <c r="G36" s="476">
        <v>1982</v>
      </c>
    </row>
    <row r="37" spans="1:7" x14ac:dyDescent="0.2">
      <c r="A37" s="531">
        <v>24563</v>
      </c>
      <c r="B37" s="532">
        <v>14.913893350315</v>
      </c>
      <c r="F37" s="476">
        <v>50.934050952136154</v>
      </c>
      <c r="G37" s="476">
        <v>1983</v>
      </c>
    </row>
    <row r="38" spans="1:7" x14ac:dyDescent="0.2">
      <c r="A38" s="531">
        <v>24654</v>
      </c>
      <c r="B38" s="532">
        <v>14.988115216831501</v>
      </c>
      <c r="F38" s="476">
        <v>52.7286765665133</v>
      </c>
      <c r="G38" s="476">
        <v>1984</v>
      </c>
    </row>
    <row r="39" spans="1:7" x14ac:dyDescent="0.2">
      <c r="A39" s="531">
        <v>24746</v>
      </c>
      <c r="B39" s="532">
        <v>15.198335273485201</v>
      </c>
      <c r="C39" s="533">
        <f>AVERAGE(B36:B39)</f>
        <v>14.963958936933276</v>
      </c>
      <c r="D39" s="476">
        <f>D35+1</f>
        <v>1967</v>
      </c>
      <c r="F39" s="476">
        <v>54.470361564694173</v>
      </c>
      <c r="G39" s="476">
        <v>1985</v>
      </c>
    </row>
    <row r="40" spans="1:7" x14ac:dyDescent="0.2">
      <c r="A40" s="531">
        <v>24838</v>
      </c>
      <c r="B40" s="532">
        <v>15.433945224731</v>
      </c>
      <c r="F40" s="476">
        <v>56.138658861413198</v>
      </c>
      <c r="G40" s="476">
        <v>1986</v>
      </c>
    </row>
    <row r="41" spans="1:7" x14ac:dyDescent="0.2">
      <c r="A41" s="531">
        <v>24929</v>
      </c>
      <c r="B41" s="532">
        <v>15.4899200605525</v>
      </c>
      <c r="F41" s="476">
        <v>58.794828682408955</v>
      </c>
      <c r="G41" s="476">
        <v>1987</v>
      </c>
    </row>
    <row r="42" spans="1:7" x14ac:dyDescent="0.2">
      <c r="A42" s="531">
        <v>25020</v>
      </c>
      <c r="B42" s="532">
        <v>15.6161027741247</v>
      </c>
      <c r="F42" s="476">
        <v>61.458989940411797</v>
      </c>
      <c r="G42" s="476">
        <v>1988</v>
      </c>
    </row>
    <row r="43" spans="1:7" x14ac:dyDescent="0.2">
      <c r="A43" s="531">
        <v>25112</v>
      </c>
      <c r="B43" s="532">
        <v>15.794343744426</v>
      </c>
      <c r="C43" s="533">
        <f>AVERAGE(B40:B43)</f>
        <v>15.583577950958549</v>
      </c>
      <c r="D43" s="476">
        <f>D39+1</f>
        <v>1968</v>
      </c>
      <c r="F43" s="476">
        <v>64.334648963712795</v>
      </c>
      <c r="G43" s="476">
        <v>1989</v>
      </c>
    </row>
    <row r="44" spans="1:7" x14ac:dyDescent="0.2">
      <c r="A44" s="531">
        <v>25204</v>
      </c>
      <c r="B44" s="532">
        <v>16.041989730203401</v>
      </c>
      <c r="F44" s="476">
        <v>66.513351338987377</v>
      </c>
      <c r="G44" s="476">
        <v>1990</v>
      </c>
    </row>
    <row r="45" spans="1:7" x14ac:dyDescent="0.2">
      <c r="A45" s="531">
        <v>25294</v>
      </c>
      <c r="B45" s="532">
        <v>16.286926904071301</v>
      </c>
      <c r="F45" s="476">
        <v>68.550059634038206</v>
      </c>
      <c r="G45" s="476">
        <v>1991</v>
      </c>
    </row>
    <row r="46" spans="1:7" x14ac:dyDescent="0.2">
      <c r="A46" s="531">
        <v>25385</v>
      </c>
      <c r="B46" s="532">
        <v>16.4230656351031</v>
      </c>
      <c r="F46" s="476">
        <v>69.571385711348654</v>
      </c>
      <c r="G46" s="476">
        <v>1992</v>
      </c>
    </row>
    <row r="47" spans="1:7" x14ac:dyDescent="0.2">
      <c r="A47" s="531">
        <v>25477</v>
      </c>
      <c r="B47" s="532">
        <v>16.595246373656401</v>
      </c>
      <c r="C47" s="533">
        <f>AVERAGE(B44:B47)</f>
        <v>16.336807160758553</v>
      </c>
      <c r="D47" s="476">
        <f>D43+1</f>
        <v>1969</v>
      </c>
      <c r="F47" s="476">
        <v>70.491265293404126</v>
      </c>
      <c r="G47" s="476">
        <v>1993</v>
      </c>
    </row>
    <row r="48" spans="1:7" x14ac:dyDescent="0.2">
      <c r="A48" s="531">
        <v>25569</v>
      </c>
      <c r="B48" s="532">
        <v>16.850638035183</v>
      </c>
      <c r="F48" s="476">
        <v>71.507638121410693</v>
      </c>
      <c r="G48" s="476">
        <v>1994</v>
      </c>
    </row>
    <row r="49" spans="1:7" x14ac:dyDescent="0.2">
      <c r="A49" s="531">
        <v>25659</v>
      </c>
      <c r="B49" s="532">
        <v>16.9668730328072</v>
      </c>
      <c r="F49" s="476">
        <v>73.112973503754475</v>
      </c>
      <c r="G49" s="476">
        <v>1995</v>
      </c>
    </row>
    <row r="50" spans="1:7" x14ac:dyDescent="0.2">
      <c r="A50" s="531">
        <v>25750</v>
      </c>
      <c r="B50" s="532">
        <v>17.160031137234899</v>
      </c>
      <c r="F50" s="476">
        <v>74.393766820661682</v>
      </c>
      <c r="G50" s="476">
        <v>1996</v>
      </c>
    </row>
    <row r="51" spans="1:7" x14ac:dyDescent="0.2">
      <c r="A51" s="531">
        <v>25842</v>
      </c>
      <c r="B51" s="532">
        <v>17.261432929529601</v>
      </c>
      <c r="C51" s="533">
        <f>AVERAGE(B48:B51)</f>
        <v>17.059743783688674</v>
      </c>
      <c r="D51" s="476">
        <f>D47+1</f>
        <v>1970</v>
      </c>
      <c r="F51" s="476">
        <v>75.24570785939413</v>
      </c>
      <c r="G51" s="476">
        <v>1997</v>
      </c>
    </row>
    <row r="52" spans="1:7" x14ac:dyDescent="0.2">
      <c r="A52" s="531">
        <v>25934</v>
      </c>
      <c r="B52" s="532">
        <v>17.618891654360102</v>
      </c>
      <c r="F52" s="476">
        <v>75.092063431515953</v>
      </c>
      <c r="G52" s="476">
        <v>1998</v>
      </c>
    </row>
    <row r="53" spans="1:7" x14ac:dyDescent="0.2">
      <c r="A53" s="531">
        <v>26024</v>
      </c>
      <c r="B53" s="532">
        <v>17.817014966990602</v>
      </c>
      <c r="F53" s="476">
        <v>76.476875763861102</v>
      </c>
      <c r="G53" s="476">
        <v>1999</v>
      </c>
    </row>
    <row r="54" spans="1:7" x14ac:dyDescent="0.2">
      <c r="A54" s="531">
        <v>26115</v>
      </c>
      <c r="B54" s="532">
        <v>17.911477148353601</v>
      </c>
      <c r="F54" s="476">
        <v>79.746327617714172</v>
      </c>
      <c r="G54" s="476">
        <v>2000</v>
      </c>
    </row>
    <row r="55" spans="1:7" x14ac:dyDescent="0.2">
      <c r="A55" s="531">
        <v>26207</v>
      </c>
      <c r="B55" s="532">
        <v>18.1721908183635</v>
      </c>
      <c r="C55" s="533">
        <f>AVERAGE(B52:B55)</f>
        <v>17.879893647016953</v>
      </c>
      <c r="D55" s="476">
        <f>D51+1</f>
        <v>1971</v>
      </c>
      <c r="F55" s="476">
        <v>81.052460693339754</v>
      </c>
      <c r="G55" s="476">
        <v>2001</v>
      </c>
    </row>
    <row r="56" spans="1:7" x14ac:dyDescent="0.2">
      <c r="A56" s="531">
        <v>26299</v>
      </c>
      <c r="B56" s="532">
        <v>18.557351620649499</v>
      </c>
      <c r="F56" s="476">
        <v>82.03705715080315</v>
      </c>
      <c r="G56" s="476">
        <v>2002</v>
      </c>
    </row>
    <row r="57" spans="1:7" x14ac:dyDescent="0.2">
      <c r="A57" s="531">
        <v>26390</v>
      </c>
      <c r="B57" s="532">
        <v>18.733760888855901</v>
      </c>
      <c r="F57" s="476">
        <v>84.779737629225423</v>
      </c>
      <c r="G57" s="476">
        <v>2003</v>
      </c>
    </row>
    <row r="58" spans="1:7" x14ac:dyDescent="0.2">
      <c r="A58" s="531">
        <v>26481</v>
      </c>
      <c r="B58" s="532">
        <v>19.0534848088618</v>
      </c>
      <c r="F58" s="476">
        <v>87.553283149350207</v>
      </c>
      <c r="G58" s="476">
        <v>2004</v>
      </c>
    </row>
    <row r="59" spans="1:7" x14ac:dyDescent="0.2">
      <c r="A59" s="531">
        <v>26573</v>
      </c>
      <c r="B59" s="532">
        <v>19.393714158206102</v>
      </c>
      <c r="C59" s="533">
        <f>AVERAGE(B56:B59)</f>
        <v>18.934577869143325</v>
      </c>
      <c r="D59" s="476">
        <f>D55+1</f>
        <v>1972</v>
      </c>
      <c r="F59" s="476">
        <v>90.358612425189136</v>
      </c>
      <c r="G59" s="476">
        <v>2005</v>
      </c>
    </row>
    <row r="60" spans="1:7" x14ac:dyDescent="0.2">
      <c r="A60" s="531">
        <v>26665</v>
      </c>
      <c r="B60" s="532">
        <v>19.779553012637798</v>
      </c>
      <c r="F60" s="476">
        <v>92.819026773990061</v>
      </c>
      <c r="G60" s="476">
        <v>2006</v>
      </c>
    </row>
    <row r="61" spans="1:7" x14ac:dyDescent="0.2">
      <c r="A61" s="531">
        <v>26755</v>
      </c>
      <c r="B61" s="532">
        <v>20.409277778240298</v>
      </c>
      <c r="F61" s="476">
        <v>95.821834785348159</v>
      </c>
      <c r="G61" s="476">
        <v>2007</v>
      </c>
    </row>
    <row r="62" spans="1:7" x14ac:dyDescent="0.2">
      <c r="A62" s="531">
        <v>26846</v>
      </c>
      <c r="B62" s="532">
        <v>21.0292623492047</v>
      </c>
      <c r="F62" s="476">
        <v>99.550688301948966</v>
      </c>
      <c r="G62" s="476">
        <v>2008</v>
      </c>
    </row>
    <row r="63" spans="1:7" x14ac:dyDescent="0.2">
      <c r="A63" s="531">
        <v>26938</v>
      </c>
      <c r="B63" s="532">
        <v>21.844601947259601</v>
      </c>
      <c r="C63" s="533">
        <f>AVERAGE(B60:B63)</f>
        <v>20.765673771835601</v>
      </c>
      <c r="D63" s="476">
        <f>D59+1</f>
        <v>1973</v>
      </c>
      <c r="F63" s="476">
        <v>97.416780048026226</v>
      </c>
      <c r="G63" s="476">
        <v>2009</v>
      </c>
    </row>
    <row r="64" spans="1:7" x14ac:dyDescent="0.2">
      <c r="A64" s="531">
        <v>27030</v>
      </c>
      <c r="B64" s="532">
        <v>22.717705920273598</v>
      </c>
      <c r="F64" s="476">
        <v>99.996775298285584</v>
      </c>
      <c r="G64" s="476">
        <v>2010</v>
      </c>
    </row>
    <row r="65" spans="1:7" x14ac:dyDescent="0.2">
      <c r="A65" s="531">
        <v>27120</v>
      </c>
      <c r="B65" s="532">
        <v>23.4812453130615</v>
      </c>
      <c r="F65" s="476">
        <v>103.38453095428075</v>
      </c>
      <c r="G65" s="476">
        <v>2011</v>
      </c>
    </row>
    <row r="66" spans="1:7" x14ac:dyDescent="0.2">
      <c r="A66" s="531">
        <v>27211</v>
      </c>
      <c r="B66" s="532">
        <v>24.479266442831399</v>
      </c>
      <c r="F66" s="476">
        <v>104.9467473042005</v>
      </c>
      <c r="G66" s="476">
        <v>2012</v>
      </c>
    </row>
    <row r="67" spans="1:7" x14ac:dyDescent="0.2">
      <c r="A67" s="531">
        <v>27303</v>
      </c>
      <c r="B67" s="532">
        <v>25.036524961373502</v>
      </c>
      <c r="C67" s="533">
        <f>AVERAGE(B64:B67)</f>
        <v>23.928685659385</v>
      </c>
      <c r="D67" s="476">
        <f>D63+1</f>
        <v>1974</v>
      </c>
      <c r="F67" s="476">
        <v>106.39776028028824</v>
      </c>
      <c r="G67" s="476">
        <v>2013</v>
      </c>
    </row>
    <row r="68" spans="1:7" x14ac:dyDescent="0.2">
      <c r="A68" s="531">
        <v>27395</v>
      </c>
      <c r="B68" s="532">
        <v>25.482260693182599</v>
      </c>
      <c r="F68" s="476">
        <v>108.29162587673099</v>
      </c>
      <c r="G68" s="476">
        <v>2014</v>
      </c>
    </row>
    <row r="69" spans="1:7" x14ac:dyDescent="0.2">
      <c r="A69" s="531">
        <v>27485</v>
      </c>
      <c r="B69" s="532">
        <v>26.087643106951901</v>
      </c>
    </row>
    <row r="70" spans="1:7" x14ac:dyDescent="0.2">
      <c r="A70" s="531">
        <v>27576</v>
      </c>
      <c r="B70" s="532">
        <v>26.867090004276101</v>
      </c>
    </row>
    <row r="71" spans="1:7" x14ac:dyDescent="0.2">
      <c r="A71" s="531">
        <v>27668</v>
      </c>
      <c r="B71" s="532">
        <v>27.494535820841602</v>
      </c>
      <c r="C71" s="533">
        <f>AVERAGE(B68:B71)</f>
        <v>26.482882406313053</v>
      </c>
      <c r="D71" s="476">
        <f>D67+1</f>
        <v>1975</v>
      </c>
    </row>
    <row r="72" spans="1:7" x14ac:dyDescent="0.2">
      <c r="A72" s="531">
        <v>27760</v>
      </c>
      <c r="B72" s="532">
        <v>28.1400592107628</v>
      </c>
    </row>
    <row r="73" spans="1:7" x14ac:dyDescent="0.2">
      <c r="A73" s="531">
        <v>27851</v>
      </c>
      <c r="B73" s="532">
        <v>28.9715804378298</v>
      </c>
    </row>
    <row r="74" spans="1:7" x14ac:dyDescent="0.2">
      <c r="A74" s="531">
        <v>27942</v>
      </c>
      <c r="B74" s="532">
        <v>29.158109624004801</v>
      </c>
    </row>
    <row r="75" spans="1:7" x14ac:dyDescent="0.2">
      <c r="A75" s="531">
        <v>28034</v>
      </c>
      <c r="B75" s="532">
        <v>29.738988062680601</v>
      </c>
      <c r="C75" s="533">
        <f>AVERAGE(B72:B75)</f>
        <v>29.002184333819503</v>
      </c>
      <c r="D75" s="476">
        <f>D71+1</f>
        <v>1976</v>
      </c>
    </row>
    <row r="76" spans="1:7" x14ac:dyDescent="0.2">
      <c r="A76" s="531">
        <v>28126</v>
      </c>
      <c r="B76" s="532">
        <v>30.251412591770201</v>
      </c>
    </row>
    <row r="77" spans="1:7" x14ac:dyDescent="0.2">
      <c r="A77" s="531">
        <v>28216</v>
      </c>
      <c r="B77" s="532">
        <v>30.737515327383999</v>
      </c>
    </row>
    <row r="78" spans="1:7" x14ac:dyDescent="0.2">
      <c r="A78" s="531">
        <v>28307</v>
      </c>
      <c r="B78" s="532">
        <v>31.2783844392067</v>
      </c>
    </row>
    <row r="79" spans="1:7" x14ac:dyDescent="0.2">
      <c r="A79" s="531">
        <v>28399</v>
      </c>
      <c r="B79" s="532">
        <v>31.631346236328302</v>
      </c>
      <c r="C79" s="533">
        <f>AVERAGE(B76:B79)</f>
        <v>30.974664648672299</v>
      </c>
      <c r="D79" s="476">
        <f>D75+1</f>
        <v>1977</v>
      </c>
    </row>
    <row r="80" spans="1:7" x14ac:dyDescent="0.2">
      <c r="A80" s="531">
        <v>28491</v>
      </c>
      <c r="B80" s="532">
        <v>32.0141537198637</v>
      </c>
    </row>
    <row r="81" spans="1:4" x14ac:dyDescent="0.2">
      <c r="A81" s="531">
        <v>28581</v>
      </c>
      <c r="B81" s="532">
        <v>32.715709397394598</v>
      </c>
    </row>
    <row r="82" spans="1:4" x14ac:dyDescent="0.2">
      <c r="A82" s="531">
        <v>28672</v>
      </c>
      <c r="B82" s="532">
        <v>33.3027644846429</v>
      </c>
    </row>
    <row r="83" spans="1:4" x14ac:dyDescent="0.2">
      <c r="A83" s="531">
        <v>28764</v>
      </c>
      <c r="B83" s="532">
        <v>34.038541297716399</v>
      </c>
      <c r="C83" s="533">
        <f>AVERAGE(B80:B83)</f>
        <v>33.017792224904397</v>
      </c>
      <c r="D83" s="476">
        <f>D79+1</f>
        <v>1978</v>
      </c>
    </row>
    <row r="84" spans="1:4" x14ac:dyDescent="0.2">
      <c r="A84" s="531">
        <v>28856</v>
      </c>
      <c r="B84" s="532">
        <v>34.794867757675497</v>
      </c>
    </row>
    <row r="85" spans="1:4" x14ac:dyDescent="0.2">
      <c r="A85" s="531">
        <v>28946</v>
      </c>
      <c r="B85" s="532">
        <v>35.938674969494201</v>
      </c>
    </row>
    <row r="86" spans="1:4" x14ac:dyDescent="0.2">
      <c r="A86" s="531">
        <v>29037</v>
      </c>
      <c r="B86" s="532">
        <v>36.813117402833797</v>
      </c>
    </row>
    <row r="87" spans="1:4" x14ac:dyDescent="0.2">
      <c r="A87" s="531">
        <v>29129</v>
      </c>
      <c r="B87" s="532">
        <v>37.702129596801598</v>
      </c>
      <c r="C87" s="533">
        <f>AVERAGE(B84:B87)</f>
        <v>36.312197431701271</v>
      </c>
      <c r="D87" s="476">
        <f>D83+1</f>
        <v>1979</v>
      </c>
    </row>
    <row r="88" spans="1:4" x14ac:dyDescent="0.2">
      <c r="A88" s="531">
        <v>29221</v>
      </c>
      <c r="B88" s="532">
        <v>38.442703224791501</v>
      </c>
    </row>
    <row r="89" spans="1:4" x14ac:dyDescent="0.2">
      <c r="A89" s="531">
        <v>29312</v>
      </c>
      <c r="B89" s="532">
        <v>39.380857288055701</v>
      </c>
    </row>
    <row r="90" spans="1:4" x14ac:dyDescent="0.2">
      <c r="A90" s="531">
        <v>29403</v>
      </c>
      <c r="B90" s="532">
        <v>40.388521077754604</v>
      </c>
    </row>
    <row r="91" spans="1:4" x14ac:dyDescent="0.2">
      <c r="A91" s="531">
        <v>29495</v>
      </c>
      <c r="B91" s="532">
        <v>41.695613243711797</v>
      </c>
      <c r="C91" s="533">
        <f>AVERAGE(B88:B91)</f>
        <v>39.976923708578397</v>
      </c>
      <c r="D91" s="476">
        <f>D87+1</f>
        <v>1980</v>
      </c>
    </row>
    <row r="92" spans="1:4" x14ac:dyDescent="0.2">
      <c r="A92" s="531">
        <v>29587</v>
      </c>
      <c r="B92" s="532">
        <v>42.885143182042803</v>
      </c>
    </row>
    <row r="93" spans="1:4" x14ac:dyDescent="0.2">
      <c r="A93" s="531">
        <v>29677</v>
      </c>
      <c r="B93" s="532">
        <v>43.873895941803497</v>
      </c>
    </row>
    <row r="94" spans="1:4" x14ac:dyDescent="0.2">
      <c r="A94" s="531">
        <v>29768</v>
      </c>
      <c r="B94" s="532">
        <v>44.876784788906697</v>
      </c>
    </row>
    <row r="95" spans="1:4" x14ac:dyDescent="0.2">
      <c r="A95" s="531">
        <v>29860</v>
      </c>
      <c r="B95" s="532">
        <v>45.526704918163801</v>
      </c>
      <c r="C95" s="533">
        <f>AVERAGE(B92:B95)</f>
        <v>44.290632207729196</v>
      </c>
      <c r="D95" s="476">
        <f>D91+1</f>
        <v>1981</v>
      </c>
    </row>
    <row r="96" spans="1:4" x14ac:dyDescent="0.2">
      <c r="A96" s="531">
        <v>29952</v>
      </c>
      <c r="B96" s="532">
        <v>46.826259164795999</v>
      </c>
    </row>
    <row r="97" spans="1:4" x14ac:dyDescent="0.2">
      <c r="A97" s="531">
        <v>30042</v>
      </c>
      <c r="B97" s="532">
        <v>47.786657645371001</v>
      </c>
    </row>
    <row r="98" spans="1:4" x14ac:dyDescent="0.2">
      <c r="A98" s="531">
        <v>30133</v>
      </c>
      <c r="B98" s="532">
        <v>48.595231118811903</v>
      </c>
    </row>
    <row r="99" spans="1:4" x14ac:dyDescent="0.2">
      <c r="A99" s="531">
        <v>30225</v>
      </c>
      <c r="B99" s="532">
        <v>49.5477552837256</v>
      </c>
      <c r="C99" s="533">
        <f>AVERAGE(B96:B99)</f>
        <v>48.188975803176127</v>
      </c>
      <c r="D99" s="476">
        <f>D95+1</f>
        <v>1982</v>
      </c>
    </row>
    <row r="100" spans="1:4" x14ac:dyDescent="0.2">
      <c r="A100" s="531">
        <v>30317</v>
      </c>
      <c r="B100" s="532">
        <v>49.932049546951902</v>
      </c>
    </row>
    <row r="101" spans="1:4" x14ac:dyDescent="0.2">
      <c r="A101" s="531">
        <v>30407</v>
      </c>
      <c r="B101" s="532">
        <v>50.491744008936898</v>
      </c>
    </row>
    <row r="102" spans="1:4" x14ac:dyDescent="0.2">
      <c r="A102" s="531">
        <v>30498</v>
      </c>
      <c r="B102" s="532">
        <v>51.500037998649702</v>
      </c>
    </row>
    <row r="103" spans="1:4" x14ac:dyDescent="0.2">
      <c r="A103" s="531">
        <v>30590</v>
      </c>
      <c r="B103" s="532">
        <v>51.8123722540061</v>
      </c>
      <c r="C103" s="533">
        <f>AVERAGE(B100:B103)</f>
        <v>50.934050952136154</v>
      </c>
      <c r="D103" s="476">
        <f>D99+1</f>
        <v>1983</v>
      </c>
    </row>
    <row r="104" spans="1:4" x14ac:dyDescent="0.2">
      <c r="A104" s="531">
        <v>30682</v>
      </c>
      <c r="B104" s="532">
        <v>52.201801487988497</v>
      </c>
    </row>
    <row r="105" spans="1:4" x14ac:dyDescent="0.2">
      <c r="A105" s="531">
        <v>30773</v>
      </c>
      <c r="B105" s="532">
        <v>52.522228672811103</v>
      </c>
    </row>
    <row r="106" spans="1:4" x14ac:dyDescent="0.2">
      <c r="A106" s="531">
        <v>30864</v>
      </c>
      <c r="B106" s="532">
        <v>52.932315654090203</v>
      </c>
    </row>
    <row r="107" spans="1:4" x14ac:dyDescent="0.2">
      <c r="A107" s="531">
        <v>30956</v>
      </c>
      <c r="B107" s="532">
        <v>53.258360451163398</v>
      </c>
      <c r="C107" s="533">
        <f>AVERAGE(B104:B107)</f>
        <v>52.7286765665133</v>
      </c>
      <c r="D107" s="476">
        <f>D103+1</f>
        <v>1984</v>
      </c>
    </row>
    <row r="108" spans="1:4" x14ac:dyDescent="0.2">
      <c r="A108" s="531">
        <v>31048</v>
      </c>
      <c r="B108" s="532">
        <v>53.631881480761997</v>
      </c>
    </row>
    <row r="109" spans="1:4" x14ac:dyDescent="0.2">
      <c r="A109" s="531">
        <v>31138</v>
      </c>
      <c r="B109" s="532">
        <v>54.477834158693803</v>
      </c>
    </row>
    <row r="110" spans="1:4" x14ac:dyDescent="0.2">
      <c r="A110" s="531">
        <v>31229</v>
      </c>
      <c r="B110" s="532">
        <v>54.720968306129897</v>
      </c>
    </row>
    <row r="111" spans="1:4" x14ac:dyDescent="0.2">
      <c r="A111" s="531">
        <v>31321</v>
      </c>
      <c r="B111" s="532">
        <v>55.050762313191001</v>
      </c>
      <c r="C111" s="533">
        <f>AVERAGE(B108:B111)</f>
        <v>54.470361564694173</v>
      </c>
      <c r="D111" s="476">
        <f>D107+1</f>
        <v>1985</v>
      </c>
    </row>
    <row r="112" spans="1:4" x14ac:dyDescent="0.2">
      <c r="A112" s="531">
        <v>31413</v>
      </c>
      <c r="B112" s="532">
        <v>55.481500682268802</v>
      </c>
    </row>
    <row r="113" spans="1:4" x14ac:dyDescent="0.2">
      <c r="A113" s="531">
        <v>31503</v>
      </c>
      <c r="B113" s="532">
        <v>55.714414322931802</v>
      </c>
    </row>
    <row r="114" spans="1:4" x14ac:dyDescent="0.2">
      <c r="A114" s="531">
        <v>31594</v>
      </c>
      <c r="B114" s="532">
        <v>56.293143737843302</v>
      </c>
    </row>
    <row r="115" spans="1:4" x14ac:dyDescent="0.2">
      <c r="A115" s="531">
        <v>31686</v>
      </c>
      <c r="B115" s="532">
        <v>57.065576702608901</v>
      </c>
      <c r="C115" s="533">
        <f>AVERAGE(B112:B115)</f>
        <v>56.138658861413198</v>
      </c>
      <c r="D115" s="476">
        <f>D111+1</f>
        <v>1986</v>
      </c>
    </row>
    <row r="116" spans="1:4" x14ac:dyDescent="0.2">
      <c r="A116" s="531">
        <v>31778</v>
      </c>
      <c r="B116" s="532">
        <v>57.7246121722889</v>
      </c>
    </row>
    <row r="117" spans="1:4" x14ac:dyDescent="0.2">
      <c r="A117" s="531">
        <v>31868</v>
      </c>
      <c r="B117" s="532">
        <v>58.5549012558605</v>
      </c>
    </row>
    <row r="118" spans="1:4" x14ac:dyDescent="0.2">
      <c r="A118" s="531">
        <v>31959</v>
      </c>
      <c r="B118" s="532">
        <v>59.127306645923397</v>
      </c>
    </row>
    <row r="119" spans="1:4" x14ac:dyDescent="0.2">
      <c r="A119" s="531">
        <v>32051</v>
      </c>
      <c r="B119" s="532">
        <v>59.772494655563001</v>
      </c>
      <c r="C119" s="533">
        <f>AVERAGE(B116:B119)</f>
        <v>58.794828682408955</v>
      </c>
      <c r="D119" s="476">
        <f>D115+1</f>
        <v>1987</v>
      </c>
    </row>
    <row r="120" spans="1:4" x14ac:dyDescent="0.2">
      <c r="A120" s="531">
        <v>32143</v>
      </c>
      <c r="B120" s="532">
        <v>60.424702986944197</v>
      </c>
    </row>
    <row r="121" spans="1:4" x14ac:dyDescent="0.2">
      <c r="A121" s="531">
        <v>32234</v>
      </c>
      <c r="B121" s="532">
        <v>60.878163111571297</v>
      </c>
    </row>
    <row r="122" spans="1:4" x14ac:dyDescent="0.2">
      <c r="A122" s="531">
        <v>32325</v>
      </c>
      <c r="B122" s="532">
        <v>61.871457329259101</v>
      </c>
    </row>
    <row r="123" spans="1:4" x14ac:dyDescent="0.2">
      <c r="A123" s="531">
        <v>32417</v>
      </c>
      <c r="B123" s="532">
        <v>62.6616363338726</v>
      </c>
      <c r="C123" s="533">
        <f>AVERAGE(B120:B123)</f>
        <v>61.458989940411797</v>
      </c>
      <c r="D123" s="476">
        <f>D119+1</f>
        <v>1988</v>
      </c>
    </row>
    <row r="124" spans="1:4" x14ac:dyDescent="0.2">
      <c r="A124" s="531">
        <v>32509</v>
      </c>
      <c r="B124" s="532">
        <v>63.120703598336199</v>
      </c>
    </row>
    <row r="125" spans="1:4" x14ac:dyDescent="0.2">
      <c r="A125" s="531">
        <v>32599</v>
      </c>
      <c r="B125" s="532">
        <v>64.174009532199705</v>
      </c>
    </row>
    <row r="126" spans="1:4" x14ac:dyDescent="0.2">
      <c r="A126" s="531">
        <v>32690</v>
      </c>
      <c r="B126" s="532">
        <v>64.860323716798703</v>
      </c>
    </row>
    <row r="127" spans="1:4" x14ac:dyDescent="0.2">
      <c r="A127" s="531">
        <v>32782</v>
      </c>
      <c r="B127" s="532">
        <v>65.183559007516607</v>
      </c>
      <c r="C127" s="533">
        <f>AVERAGE(B124:B127)</f>
        <v>64.334648963712795</v>
      </c>
      <c r="D127" s="476">
        <f>D123+1</f>
        <v>1989</v>
      </c>
    </row>
    <row r="128" spans="1:4" x14ac:dyDescent="0.2">
      <c r="A128" s="531">
        <v>32874</v>
      </c>
      <c r="B128" s="532">
        <v>65.571141852271396</v>
      </c>
    </row>
    <row r="129" spans="1:4" x14ac:dyDescent="0.2">
      <c r="A129" s="531">
        <v>32964</v>
      </c>
      <c r="B129" s="532">
        <v>66.206662483673895</v>
      </c>
    </row>
    <row r="130" spans="1:4" x14ac:dyDescent="0.2">
      <c r="A130" s="531">
        <v>33055</v>
      </c>
      <c r="B130" s="532">
        <v>66.890905486891199</v>
      </c>
    </row>
    <row r="131" spans="1:4" x14ac:dyDescent="0.2">
      <c r="A131" s="531">
        <v>33147</v>
      </c>
      <c r="B131" s="532">
        <v>67.384695533113003</v>
      </c>
      <c r="C131" s="533">
        <f>AVERAGE(B128:B131)</f>
        <v>66.513351338987377</v>
      </c>
      <c r="D131" s="476">
        <f>D127+1</f>
        <v>1990</v>
      </c>
    </row>
    <row r="132" spans="1:4" x14ac:dyDescent="0.2">
      <c r="A132" s="531">
        <v>33239</v>
      </c>
      <c r="B132" s="532">
        <v>68.098611409144993</v>
      </c>
    </row>
    <row r="133" spans="1:4" x14ac:dyDescent="0.2">
      <c r="A133" s="531">
        <v>33329</v>
      </c>
      <c r="B133" s="532">
        <v>68.553004502980599</v>
      </c>
    </row>
    <row r="134" spans="1:4" x14ac:dyDescent="0.2">
      <c r="A134" s="531">
        <v>33420</v>
      </c>
      <c r="B134" s="532">
        <v>68.758194522227697</v>
      </c>
    </row>
    <row r="135" spans="1:4" x14ac:dyDescent="0.2">
      <c r="A135" s="531">
        <v>33512</v>
      </c>
      <c r="B135" s="532">
        <v>68.790428101799506</v>
      </c>
      <c r="C135" s="533">
        <f>AVERAGE(B132:B135)</f>
        <v>68.550059634038206</v>
      </c>
      <c r="D135" s="476">
        <f>D131+1</f>
        <v>1991</v>
      </c>
    </row>
    <row r="136" spans="1:4" x14ac:dyDescent="0.2">
      <c r="A136" s="531">
        <v>33604</v>
      </c>
      <c r="B136" s="532">
        <v>69.117597956265598</v>
      </c>
    </row>
    <row r="137" spans="1:4" x14ac:dyDescent="0.2">
      <c r="A137" s="531">
        <v>33695</v>
      </c>
      <c r="B137" s="532">
        <v>69.479473170574195</v>
      </c>
    </row>
    <row r="138" spans="1:4" x14ac:dyDescent="0.2">
      <c r="A138" s="531">
        <v>33786</v>
      </c>
      <c r="B138" s="532">
        <v>69.774142715954198</v>
      </c>
    </row>
    <row r="139" spans="1:4" x14ac:dyDescent="0.2">
      <c r="A139" s="531">
        <v>33878</v>
      </c>
      <c r="B139" s="532">
        <v>69.914329002600596</v>
      </c>
      <c r="C139" s="533">
        <f>AVERAGE(B136:B139)</f>
        <v>69.571385711348654</v>
      </c>
      <c r="D139" s="476">
        <f>D135+1</f>
        <v>1992</v>
      </c>
    </row>
    <row r="140" spans="1:4" x14ac:dyDescent="0.2">
      <c r="A140" s="531">
        <v>33970</v>
      </c>
      <c r="B140" s="532">
        <v>70.163887788235996</v>
      </c>
    </row>
    <row r="141" spans="1:4" x14ac:dyDescent="0.2">
      <c r="A141" s="531">
        <v>34060</v>
      </c>
      <c r="B141" s="532">
        <v>70.582476562309196</v>
      </c>
    </row>
    <row r="142" spans="1:4" x14ac:dyDescent="0.2">
      <c r="A142" s="531">
        <v>34151</v>
      </c>
      <c r="B142" s="532">
        <v>70.352519025559204</v>
      </c>
    </row>
    <row r="143" spans="1:4" x14ac:dyDescent="0.2">
      <c r="A143" s="531">
        <v>34243</v>
      </c>
      <c r="B143" s="532">
        <v>70.866177797512094</v>
      </c>
      <c r="C143" s="533">
        <f>AVERAGE(B140:B143)</f>
        <v>70.491265293404126</v>
      </c>
      <c r="D143" s="476">
        <f>D139+1</f>
        <v>1993</v>
      </c>
    </row>
    <row r="144" spans="1:4" x14ac:dyDescent="0.2">
      <c r="A144" s="531">
        <v>34335</v>
      </c>
      <c r="B144" s="532">
        <v>71.113434409161101</v>
      </c>
    </row>
    <row r="145" spans="1:4" x14ac:dyDescent="0.2">
      <c r="A145" s="531">
        <v>34425</v>
      </c>
      <c r="B145" s="532">
        <v>71.089448005762094</v>
      </c>
    </row>
    <row r="146" spans="1:4" x14ac:dyDescent="0.2">
      <c r="A146" s="531">
        <v>34516</v>
      </c>
      <c r="B146" s="532">
        <v>71.732558472310501</v>
      </c>
    </row>
    <row r="147" spans="1:4" x14ac:dyDescent="0.2">
      <c r="A147" s="531">
        <v>34608</v>
      </c>
      <c r="B147" s="532">
        <v>72.095111598409105</v>
      </c>
      <c r="C147" s="533">
        <f>AVERAGE(B144:B147)</f>
        <v>71.507638121410693</v>
      </c>
      <c r="D147" s="476">
        <f>D143+1</f>
        <v>1994</v>
      </c>
    </row>
    <row r="148" spans="1:4" x14ac:dyDescent="0.2">
      <c r="A148" s="531">
        <v>34700</v>
      </c>
      <c r="B148" s="532">
        <v>72.588757765026202</v>
      </c>
    </row>
    <row r="149" spans="1:4" x14ac:dyDescent="0.2">
      <c r="A149" s="531">
        <v>34790</v>
      </c>
      <c r="B149" s="532">
        <v>72.996238743223799</v>
      </c>
    </row>
    <row r="150" spans="1:4" x14ac:dyDescent="0.2">
      <c r="A150" s="531">
        <v>34881</v>
      </c>
      <c r="B150" s="532">
        <v>73.255947255075398</v>
      </c>
    </row>
    <row r="151" spans="1:4" x14ac:dyDescent="0.2">
      <c r="A151" s="531">
        <v>34973</v>
      </c>
      <c r="B151" s="532">
        <v>73.610950251692501</v>
      </c>
      <c r="C151" s="533">
        <f>AVERAGE(B148:B151)</f>
        <v>73.112973503754475</v>
      </c>
      <c r="D151" s="476">
        <f>D147+1</f>
        <v>1995</v>
      </c>
    </row>
    <row r="152" spans="1:4" x14ac:dyDescent="0.2">
      <c r="A152" s="531">
        <v>35065</v>
      </c>
      <c r="B152" s="532">
        <v>73.941674262662403</v>
      </c>
    </row>
    <row r="153" spans="1:4" x14ac:dyDescent="0.2">
      <c r="A153" s="531">
        <v>35156</v>
      </c>
      <c r="B153" s="532">
        <v>74.137052651925202</v>
      </c>
    </row>
    <row r="154" spans="1:4" x14ac:dyDescent="0.2">
      <c r="A154" s="531">
        <v>35247</v>
      </c>
      <c r="B154" s="532">
        <v>74.484308165096294</v>
      </c>
    </row>
    <row r="155" spans="1:4" x14ac:dyDescent="0.2">
      <c r="A155" s="531">
        <v>35339</v>
      </c>
      <c r="B155" s="532">
        <v>75.0120322029628</v>
      </c>
      <c r="C155" s="533">
        <f>AVERAGE(B152:B155)</f>
        <v>74.393766820661682</v>
      </c>
      <c r="D155" s="476">
        <f>D151+1</f>
        <v>1996</v>
      </c>
    </row>
    <row r="156" spans="1:4" x14ac:dyDescent="0.2">
      <c r="A156" s="531">
        <v>35431</v>
      </c>
      <c r="B156" s="532">
        <v>75.253914524115004</v>
      </c>
    </row>
    <row r="157" spans="1:4" x14ac:dyDescent="0.2">
      <c r="A157" s="531">
        <v>35521</v>
      </c>
      <c r="B157" s="532">
        <v>75.048395296094498</v>
      </c>
    </row>
    <row r="158" spans="1:4" x14ac:dyDescent="0.2">
      <c r="A158" s="531">
        <v>35612</v>
      </c>
      <c r="B158" s="532">
        <v>75.213795593530804</v>
      </c>
    </row>
    <row r="159" spans="1:4" x14ac:dyDescent="0.2">
      <c r="A159" s="531">
        <v>35704</v>
      </c>
      <c r="B159" s="532">
        <v>75.466726023836202</v>
      </c>
      <c r="C159" s="533">
        <f>AVERAGE(B156:B159)</f>
        <v>75.24570785939413</v>
      </c>
      <c r="D159" s="476">
        <f>D155+1</f>
        <v>1997</v>
      </c>
    </row>
    <row r="160" spans="1:4" x14ac:dyDescent="0.2">
      <c r="A160" s="531">
        <v>35796</v>
      </c>
      <c r="B160" s="532">
        <v>75.269786210774797</v>
      </c>
    </row>
    <row r="161" spans="1:4" x14ac:dyDescent="0.2">
      <c r="A161" s="531">
        <v>35886</v>
      </c>
      <c r="B161" s="532">
        <v>75.275034001601398</v>
      </c>
    </row>
    <row r="162" spans="1:4" x14ac:dyDescent="0.2">
      <c r="A162" s="531">
        <v>35977</v>
      </c>
      <c r="B162" s="532">
        <v>74.829059978758707</v>
      </c>
    </row>
    <row r="163" spans="1:4" x14ac:dyDescent="0.2">
      <c r="A163" s="531">
        <v>36069</v>
      </c>
      <c r="B163" s="532">
        <v>74.994373534928897</v>
      </c>
      <c r="C163" s="533">
        <f>AVERAGE(B160:B163)</f>
        <v>75.092063431515953</v>
      </c>
      <c r="D163" s="476">
        <f>D159+1</f>
        <v>1998</v>
      </c>
    </row>
    <row r="164" spans="1:4" x14ac:dyDescent="0.2">
      <c r="A164" s="531">
        <v>36161</v>
      </c>
      <c r="B164" s="532">
        <v>75.330525536038706</v>
      </c>
    </row>
    <row r="165" spans="1:4" x14ac:dyDescent="0.2">
      <c r="A165" s="531">
        <v>36251</v>
      </c>
      <c r="B165" s="532">
        <v>76.151853841556999</v>
      </c>
    </row>
    <row r="166" spans="1:4" x14ac:dyDescent="0.2">
      <c r="A166" s="531">
        <v>36342</v>
      </c>
      <c r="B166" s="532">
        <v>77.011622738205503</v>
      </c>
    </row>
    <row r="167" spans="1:4" x14ac:dyDescent="0.2">
      <c r="A167" s="531">
        <v>36434</v>
      </c>
      <c r="B167" s="532">
        <v>77.4135009396432</v>
      </c>
      <c r="C167" s="533">
        <f>AVERAGE(B164:B167)</f>
        <v>76.476875763861102</v>
      </c>
      <c r="D167" s="476">
        <f>D163+1</f>
        <v>1999</v>
      </c>
    </row>
    <row r="168" spans="1:4" x14ac:dyDescent="0.2">
      <c r="A168" s="531">
        <v>36526</v>
      </c>
      <c r="B168" s="532">
        <v>78.323300885139901</v>
      </c>
    </row>
    <row r="169" spans="1:4" x14ac:dyDescent="0.2">
      <c r="A169" s="531">
        <v>36617</v>
      </c>
      <c r="B169" s="532">
        <v>79.496484406617398</v>
      </c>
    </row>
    <row r="170" spans="1:4" x14ac:dyDescent="0.2">
      <c r="A170" s="531">
        <v>36708</v>
      </c>
      <c r="B170" s="532">
        <v>80.267539365443497</v>
      </c>
    </row>
    <row r="171" spans="1:4" x14ac:dyDescent="0.2">
      <c r="A171" s="531">
        <v>36800</v>
      </c>
      <c r="B171" s="532">
        <v>80.897985813655893</v>
      </c>
      <c r="C171" s="533">
        <f>AVERAGE(B168:B171)</f>
        <v>79.746327617714172</v>
      </c>
      <c r="D171" s="476">
        <f>D167+1</f>
        <v>2000</v>
      </c>
    </row>
    <row r="172" spans="1:4" x14ac:dyDescent="0.2">
      <c r="A172" s="531">
        <v>36892</v>
      </c>
      <c r="B172" s="532">
        <v>81.741774862545697</v>
      </c>
    </row>
    <row r="173" spans="1:4" x14ac:dyDescent="0.2">
      <c r="A173" s="531">
        <v>36982</v>
      </c>
      <c r="B173" s="532">
        <v>81.683406570920198</v>
      </c>
    </row>
    <row r="174" spans="1:4" x14ac:dyDescent="0.2">
      <c r="A174" s="531">
        <v>37073</v>
      </c>
      <c r="B174" s="532">
        <v>80.711891409015607</v>
      </c>
    </row>
    <row r="175" spans="1:4" x14ac:dyDescent="0.2">
      <c r="A175" s="531">
        <v>37165</v>
      </c>
      <c r="B175" s="532">
        <v>80.072769930877499</v>
      </c>
      <c r="C175" s="533">
        <f>AVERAGE(B172:B175)</f>
        <v>81.052460693339754</v>
      </c>
      <c r="D175" s="476">
        <f>D171+1</f>
        <v>2001</v>
      </c>
    </row>
    <row r="176" spans="1:4" x14ac:dyDescent="0.2">
      <c r="A176" s="531">
        <v>37257</v>
      </c>
      <c r="B176" s="532">
        <v>80.491718037703805</v>
      </c>
    </row>
    <row r="177" spans="1:4" x14ac:dyDescent="0.2">
      <c r="A177" s="531">
        <v>37347</v>
      </c>
      <c r="B177" s="532">
        <v>81.851362198780095</v>
      </c>
    </row>
    <row r="178" spans="1:4" x14ac:dyDescent="0.2">
      <c r="A178" s="531">
        <v>37438</v>
      </c>
      <c r="B178" s="532">
        <v>82.362948851594098</v>
      </c>
    </row>
    <row r="179" spans="1:4" x14ac:dyDescent="0.2">
      <c r="A179" s="531">
        <v>37530</v>
      </c>
      <c r="B179" s="532">
        <v>83.442199515134604</v>
      </c>
      <c r="C179" s="533">
        <f>AVERAGE(B176:B179)</f>
        <v>82.03705715080315</v>
      </c>
      <c r="D179" s="476">
        <f>D175+1</f>
        <v>2002</v>
      </c>
    </row>
    <row r="180" spans="1:4" x14ac:dyDescent="0.2">
      <c r="A180" s="531">
        <v>37622</v>
      </c>
      <c r="B180" s="532">
        <v>84.604586206120402</v>
      </c>
    </row>
    <row r="181" spans="1:4" x14ac:dyDescent="0.2">
      <c r="A181" s="531">
        <v>37712</v>
      </c>
      <c r="B181" s="532">
        <v>83.945028190004706</v>
      </c>
    </row>
    <row r="182" spans="1:4" x14ac:dyDescent="0.2">
      <c r="A182" s="531">
        <v>37803</v>
      </c>
      <c r="B182" s="532">
        <v>85.266062451451404</v>
      </c>
    </row>
    <row r="183" spans="1:4" x14ac:dyDescent="0.2">
      <c r="A183" s="531">
        <v>37895</v>
      </c>
      <c r="B183" s="532">
        <v>85.303273669325193</v>
      </c>
      <c r="C183" s="533">
        <f>AVERAGE(B180:B183)</f>
        <v>84.779737629225423</v>
      </c>
      <c r="D183" s="476">
        <f>D179+1</f>
        <v>2003</v>
      </c>
    </row>
    <row r="184" spans="1:4" x14ac:dyDescent="0.2">
      <c r="A184" s="531">
        <v>37987</v>
      </c>
      <c r="B184" s="532">
        <v>86.343377982855202</v>
      </c>
    </row>
    <row r="185" spans="1:4" x14ac:dyDescent="0.2">
      <c r="A185" s="531">
        <v>38078</v>
      </c>
      <c r="B185" s="532">
        <v>87.4522971491227</v>
      </c>
    </row>
    <row r="186" spans="1:4" x14ac:dyDescent="0.2">
      <c r="A186" s="531">
        <v>38169</v>
      </c>
      <c r="B186" s="532">
        <v>87.984613576712206</v>
      </c>
    </row>
    <row r="187" spans="1:4" x14ac:dyDescent="0.2">
      <c r="A187" s="531">
        <v>38261</v>
      </c>
      <c r="B187" s="532">
        <v>88.432843888710707</v>
      </c>
      <c r="C187" s="533">
        <f>AVERAGE(B184:B187)</f>
        <v>87.553283149350207</v>
      </c>
      <c r="D187" s="476">
        <f>D183+1</f>
        <v>2004</v>
      </c>
    </row>
    <row r="188" spans="1:4" x14ac:dyDescent="0.2">
      <c r="A188" s="531">
        <v>38353</v>
      </c>
      <c r="B188" s="532">
        <v>88.9398871087445</v>
      </c>
    </row>
    <row r="189" spans="1:4" x14ac:dyDescent="0.2">
      <c r="A189" s="531">
        <v>38443</v>
      </c>
      <c r="B189" s="532">
        <v>89.598197906221301</v>
      </c>
    </row>
    <row r="190" spans="1:4" x14ac:dyDescent="0.2">
      <c r="A190" s="531">
        <v>38534</v>
      </c>
      <c r="B190" s="532">
        <v>90.885287987489093</v>
      </c>
    </row>
    <row r="191" spans="1:4" x14ac:dyDescent="0.2">
      <c r="A191" s="531">
        <v>38626</v>
      </c>
      <c r="B191" s="532">
        <v>92.011076698301594</v>
      </c>
      <c r="C191" s="533">
        <f>AVERAGE(B188:B191)</f>
        <v>90.358612425189136</v>
      </c>
      <c r="D191" s="476">
        <f>D187+1</f>
        <v>2005</v>
      </c>
    </row>
    <row r="192" spans="1:4" x14ac:dyDescent="0.2">
      <c r="A192" s="531">
        <v>38718</v>
      </c>
      <c r="B192" s="532">
        <v>92.157637149449897</v>
      </c>
    </row>
    <row r="193" spans="1:4" x14ac:dyDescent="0.2">
      <c r="A193" s="531">
        <v>38808</v>
      </c>
      <c r="B193" s="532">
        <v>92.530783344834802</v>
      </c>
    </row>
    <row r="194" spans="1:4" x14ac:dyDescent="0.2">
      <c r="A194" s="531">
        <v>38899</v>
      </c>
      <c r="B194" s="532">
        <v>93.135688476291094</v>
      </c>
    </row>
    <row r="195" spans="1:4" x14ac:dyDescent="0.2">
      <c r="A195" s="531">
        <v>38991</v>
      </c>
      <c r="B195" s="532">
        <v>93.451998125384506</v>
      </c>
      <c r="C195" s="533">
        <f>AVERAGE(B192:B195)</f>
        <v>92.819026773990061</v>
      </c>
      <c r="D195" s="476">
        <f>D191+1</f>
        <v>2006</v>
      </c>
    </row>
    <row r="196" spans="1:4" x14ac:dyDescent="0.2">
      <c r="A196" s="531">
        <v>39083</v>
      </c>
      <c r="B196" s="532">
        <v>94.850274820859994</v>
      </c>
    </row>
    <row r="197" spans="1:4" x14ac:dyDescent="0.2">
      <c r="A197" s="531">
        <v>39173</v>
      </c>
      <c r="B197" s="532">
        <v>95.832983768429898</v>
      </c>
    </row>
    <row r="198" spans="1:4" x14ac:dyDescent="0.2">
      <c r="A198" s="531">
        <v>39264</v>
      </c>
      <c r="B198" s="532">
        <v>95.683254743222705</v>
      </c>
    </row>
    <row r="199" spans="1:4" x14ac:dyDescent="0.2">
      <c r="A199" s="531">
        <v>39356</v>
      </c>
      <c r="B199" s="532">
        <v>96.920825808880096</v>
      </c>
      <c r="C199" s="533">
        <f>AVERAGE(B196:B199)</f>
        <v>95.821834785348159</v>
      </c>
      <c r="D199" s="476">
        <f>D195+1</f>
        <v>2007</v>
      </c>
    </row>
    <row r="200" spans="1:4" x14ac:dyDescent="0.2">
      <c r="A200" s="531">
        <v>39448</v>
      </c>
      <c r="B200" s="532">
        <v>98.7137491347885</v>
      </c>
    </row>
    <row r="201" spans="1:4" x14ac:dyDescent="0.2">
      <c r="A201" s="531">
        <v>39539</v>
      </c>
      <c r="B201" s="532">
        <v>100.755887087338</v>
      </c>
    </row>
    <row r="202" spans="1:4" x14ac:dyDescent="0.2">
      <c r="A202" s="531">
        <v>39630</v>
      </c>
      <c r="B202" s="532">
        <v>101.020850858641</v>
      </c>
    </row>
    <row r="203" spans="1:4" x14ac:dyDescent="0.2">
      <c r="A203" s="531">
        <v>39722</v>
      </c>
      <c r="B203" s="532">
        <v>97.7122661270284</v>
      </c>
      <c r="C203" s="533">
        <f>AVERAGE(B200:B203)</f>
        <v>99.550688301948966</v>
      </c>
      <c r="D203" s="476">
        <f>D199+1</f>
        <v>2008</v>
      </c>
    </row>
    <row r="204" spans="1:4" x14ac:dyDescent="0.2">
      <c r="A204" s="531">
        <v>39814</v>
      </c>
      <c r="B204" s="532">
        <v>96.232349551461795</v>
      </c>
    </row>
    <row r="205" spans="1:4" x14ac:dyDescent="0.2">
      <c r="A205" s="531">
        <v>39904</v>
      </c>
      <c r="B205" s="532">
        <v>96.840599339004598</v>
      </c>
    </row>
    <row r="206" spans="1:4" x14ac:dyDescent="0.2">
      <c r="A206" s="531">
        <v>39995</v>
      </c>
      <c r="B206" s="532">
        <v>97.572476931007103</v>
      </c>
    </row>
    <row r="207" spans="1:4" x14ac:dyDescent="0.2">
      <c r="A207" s="531">
        <v>40087</v>
      </c>
      <c r="B207" s="532">
        <v>99.021694370631394</v>
      </c>
      <c r="C207" s="533">
        <f>AVERAGE(B204:B207)</f>
        <v>97.416780048026226</v>
      </c>
      <c r="D207" s="476">
        <f>D203+1</f>
        <v>2009</v>
      </c>
    </row>
    <row r="208" spans="1:4" x14ac:dyDescent="0.2">
      <c r="A208" s="531">
        <v>40179</v>
      </c>
      <c r="B208" s="532">
        <v>99.782387348791104</v>
      </c>
    </row>
    <row r="209" spans="1:4" x14ac:dyDescent="0.2">
      <c r="A209" s="531">
        <v>40269</v>
      </c>
      <c r="B209" s="532">
        <v>99.624113947177605</v>
      </c>
    </row>
    <row r="210" spans="1:4" x14ac:dyDescent="0.2">
      <c r="A210" s="531">
        <v>40360</v>
      </c>
      <c r="B210" s="532">
        <v>99.767637646623598</v>
      </c>
    </row>
    <row r="211" spans="1:4" x14ac:dyDescent="0.2">
      <c r="A211" s="531">
        <v>40452</v>
      </c>
      <c r="B211" s="532">
        <v>100.81296225055</v>
      </c>
      <c r="C211" s="533">
        <f>AVERAGE(B208:B211)</f>
        <v>99.996775298285584</v>
      </c>
      <c r="D211" s="476">
        <f>D207+1</f>
        <v>2010</v>
      </c>
    </row>
    <row r="212" spans="1:4" x14ac:dyDescent="0.2">
      <c r="A212" s="531">
        <v>40544</v>
      </c>
      <c r="B212" s="532">
        <v>102.354303592599</v>
      </c>
    </row>
    <row r="213" spans="1:4" x14ac:dyDescent="0.2">
      <c r="A213" s="531">
        <v>40634</v>
      </c>
      <c r="B213" s="532">
        <v>103.367299628994</v>
      </c>
    </row>
    <row r="214" spans="1:4" x14ac:dyDescent="0.2">
      <c r="A214" s="531">
        <v>40725</v>
      </c>
      <c r="B214" s="532">
        <v>103.499221485405</v>
      </c>
    </row>
    <row r="215" spans="1:4" x14ac:dyDescent="0.2">
      <c r="A215" s="531">
        <v>40817</v>
      </c>
      <c r="B215" s="532">
        <v>104.31729911012501</v>
      </c>
      <c r="C215" s="533">
        <f>AVERAGE(B212:B215)</f>
        <v>103.38453095428075</v>
      </c>
      <c r="D215" s="476">
        <f>D211+1</f>
        <v>2011</v>
      </c>
    </row>
    <row r="216" spans="1:4" x14ac:dyDescent="0.2">
      <c r="A216" s="531">
        <v>40909</v>
      </c>
      <c r="B216" s="532">
        <v>104.595361141111</v>
      </c>
    </row>
    <row r="217" spans="1:4" x14ac:dyDescent="0.2">
      <c r="A217" s="531">
        <v>41000</v>
      </c>
      <c r="B217" s="532">
        <v>104.50185870320099</v>
      </c>
    </row>
    <row r="218" spans="1:4" x14ac:dyDescent="0.2">
      <c r="A218" s="531">
        <v>41091</v>
      </c>
      <c r="B218" s="532">
        <v>105.109006094836</v>
      </c>
    </row>
    <row r="219" spans="1:4" x14ac:dyDescent="0.2">
      <c r="A219" s="531">
        <v>41183</v>
      </c>
      <c r="B219" s="532">
        <v>105.580763277654</v>
      </c>
      <c r="C219" s="533">
        <f>AVERAGE(B216:B219)</f>
        <v>104.9467473042005</v>
      </c>
      <c r="D219" s="476">
        <f>D215+1</f>
        <v>2012</v>
      </c>
    </row>
    <row r="220" spans="1:4" x14ac:dyDescent="0.2">
      <c r="A220" s="531">
        <v>41275</v>
      </c>
      <c r="B220" s="532">
        <v>106.197971861814</v>
      </c>
    </row>
    <row r="221" spans="1:4" x14ac:dyDescent="0.2">
      <c r="A221" s="531">
        <v>41365</v>
      </c>
      <c r="B221" s="532">
        <v>105.999303849543</v>
      </c>
    </row>
    <row r="222" spans="1:4" x14ac:dyDescent="0.2">
      <c r="A222" s="531">
        <v>41456</v>
      </c>
      <c r="B222" s="532">
        <v>106.639502314635</v>
      </c>
    </row>
    <row r="223" spans="1:4" x14ac:dyDescent="0.2">
      <c r="A223" s="531">
        <v>41548</v>
      </c>
      <c r="B223" s="532">
        <v>106.75426309516099</v>
      </c>
      <c r="C223" s="533">
        <f>AVERAGE(B220:B223)</f>
        <v>106.39776028028824</v>
      </c>
      <c r="D223" s="476">
        <f>D219+1</f>
        <v>2013</v>
      </c>
    </row>
    <row r="224" spans="1:4" x14ac:dyDescent="0.2">
      <c r="A224" s="531">
        <v>41640</v>
      </c>
      <c r="B224" s="532">
        <v>108.25603060150701</v>
      </c>
    </row>
    <row r="225" spans="1:4" x14ac:dyDescent="0.2">
      <c r="A225" s="531">
        <v>41730</v>
      </c>
      <c r="B225" s="532">
        <v>108.261244626904</v>
      </c>
    </row>
    <row r="226" spans="1:4" x14ac:dyDescent="0.2">
      <c r="A226" s="531">
        <v>41821</v>
      </c>
      <c r="B226" s="532">
        <v>108.634291259159</v>
      </c>
    </row>
    <row r="227" spans="1:4" x14ac:dyDescent="0.2">
      <c r="A227" s="531">
        <v>41913</v>
      </c>
      <c r="B227" s="532">
        <v>108.01493701935399</v>
      </c>
      <c r="C227" s="533">
        <f>AVERAGE(B224:B227)</f>
        <v>108.29162587673099</v>
      </c>
      <c r="D227" s="476">
        <f>D223+1</f>
        <v>2014</v>
      </c>
    </row>
  </sheetData>
  <sortState ref="F15:G227">
    <sortCondition ref="G15:G227"/>
  </sortState>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outlinePr summaryBelow="0" summaryRight="0"/>
  </sheetPr>
  <dimension ref="A1:U133"/>
  <sheetViews>
    <sheetView showGridLines="0" zoomScale="80" zoomScaleNormal="80" zoomScalePageLayoutView="80" workbookViewId="0">
      <pane ySplit="2" topLeftCell="A3" activePane="bottomLeft" state="frozen"/>
      <selection activeCell="I31" sqref="I31"/>
      <selection pane="bottomLeft" activeCell="G42" sqref="G42"/>
    </sheetView>
  </sheetViews>
  <sheetFormatPr defaultColWidth="8.85546875" defaultRowHeight="13.5" x14ac:dyDescent="0.25"/>
  <cols>
    <col min="1" max="1" width="2.85546875" style="150" customWidth="1"/>
    <col min="2" max="3" width="20.7109375" style="1" customWidth="1"/>
    <col min="4" max="4" width="29.7109375" style="1" customWidth="1"/>
    <col min="5" max="5" width="20.7109375" style="1" customWidth="1"/>
    <col min="6" max="6" width="29.7109375" style="1" customWidth="1"/>
    <col min="7" max="8" width="20.7109375" style="1" customWidth="1"/>
    <col min="9" max="9" width="29.7109375" style="1" customWidth="1"/>
    <col min="10" max="11" width="20.7109375" style="1" customWidth="1"/>
    <col min="12" max="17" width="20.7109375" style="244" customWidth="1"/>
    <col min="18" max="18" width="22" style="150" bestFit="1" customWidth="1"/>
    <col min="19" max="19" width="8.85546875" style="150"/>
    <col min="20" max="20" width="12.42578125" style="150" bestFit="1" customWidth="1"/>
    <col min="21" max="21" width="16" style="150" bestFit="1" customWidth="1"/>
    <col min="22" max="16384" width="8.85546875" style="150"/>
  </cols>
  <sheetData>
    <row r="1" spans="1:21" ht="15" x14ac:dyDescent="0.3">
      <c r="A1" s="354"/>
      <c r="B1" s="242" t="s">
        <v>264</v>
      </c>
      <c r="C1" s="241"/>
      <c r="D1" s="241"/>
      <c r="E1" s="241"/>
      <c r="F1" s="241"/>
      <c r="G1" s="241"/>
      <c r="H1" s="241"/>
      <c r="I1" s="241"/>
      <c r="J1" s="241"/>
      <c r="K1" s="243"/>
    </row>
    <row r="2" spans="1:21" s="355" customFormat="1" ht="15" x14ac:dyDescent="0.3">
      <c r="B2" s="106" t="s">
        <v>106</v>
      </c>
      <c r="C2" s="106" t="s">
        <v>150</v>
      </c>
      <c r="D2" s="106" t="str">
        <f>VLOOKUP($C$2,'OPG hydro peers'!$D$4:$E$23,2,0)</f>
        <v>OPG Hydro Peer Industry Total</v>
      </c>
      <c r="E2" s="106" t="str">
        <f>VLOOKUP($C$2,'OPG hydro peers'!$D$4:$F$23,3,0)</f>
        <v>NA</v>
      </c>
      <c r="F2" s="179" t="s">
        <v>302</v>
      </c>
      <c r="G2" s="180">
        <f>I112</f>
        <v>-1.0126642330030288E-2</v>
      </c>
      <c r="H2" s="419"/>
      <c r="I2" s="187" t="str">
        <f>D115</f>
        <v>TFP trend growth rate (2002-2014):</v>
      </c>
      <c r="J2" s="187">
        <f>D117</f>
        <v>-1.1755973747648814E-2</v>
      </c>
      <c r="K2" s="106"/>
      <c r="L2" s="245"/>
      <c r="M2" s="245"/>
      <c r="N2" s="245"/>
      <c r="O2" s="245"/>
      <c r="P2" s="245"/>
      <c r="Q2" s="245"/>
    </row>
    <row r="4" spans="1:21" s="354" customFormat="1" ht="15" x14ac:dyDescent="0.3">
      <c r="B4" s="249" t="s">
        <v>265</v>
      </c>
      <c r="C4" s="248"/>
      <c r="D4" s="248"/>
      <c r="E4" s="248"/>
      <c r="F4" s="248"/>
      <c r="G4" s="248"/>
      <c r="H4" s="248"/>
      <c r="I4" s="248"/>
      <c r="J4" s="248"/>
      <c r="K4" s="248"/>
      <c r="L4" s="401"/>
      <c r="M4" s="401"/>
      <c r="N4" s="401"/>
      <c r="O4" s="401"/>
      <c r="P4" s="401"/>
      <c r="Q4" s="401"/>
    </row>
    <row r="5" spans="1:21" ht="15" x14ac:dyDescent="0.3">
      <c r="B5" s="67" t="s">
        <v>0</v>
      </c>
      <c r="C5" s="68" t="s">
        <v>1</v>
      </c>
      <c r="D5" s="68" t="s">
        <v>1</v>
      </c>
      <c r="E5" s="68" t="s">
        <v>98</v>
      </c>
      <c r="F5" s="68" t="s">
        <v>2</v>
      </c>
      <c r="G5" s="68" t="s">
        <v>103</v>
      </c>
      <c r="H5" s="68" t="s">
        <v>3</v>
      </c>
      <c r="I5" s="68" t="s">
        <v>3</v>
      </c>
      <c r="J5" s="68" t="s">
        <v>3</v>
      </c>
      <c r="M5" s="246"/>
      <c r="N5" s="246"/>
      <c r="T5" s="357"/>
      <c r="U5" s="357"/>
    </row>
    <row r="6" spans="1:21" ht="15" x14ac:dyDescent="0.25">
      <c r="B6" s="68" t="s">
        <v>4</v>
      </c>
      <c r="C6" s="68" t="str">
        <f>+TFP_dataset!G5&amp; " ("&amp;TFP_dataset!G3&amp; ")"</f>
        <v>MCR (MW)</v>
      </c>
      <c r="D6" s="68" t="str">
        <f>+TFP_dataset!O5&amp; " ("&amp;TFP_dataset!O3&amp; ")"</f>
        <v>O&amp;M_total (K$)</v>
      </c>
      <c r="E6" s="16" t="str">
        <f>'Can O&amp;M price indexes'!N4</f>
        <v>O&amp;M Price Index</v>
      </c>
      <c r="F6" s="68" t="str">
        <f>+TFP_dataset!R5&amp; " ("&amp;TFP_dataset!R3&amp; ")"</f>
        <v>Net_generation (MWh)</v>
      </c>
      <c r="G6" s="16" t="str">
        <f>+TFP_dataset!W5&amp; " ("&amp;TFP_dataset!W3&amp; ")"</f>
        <v>Revenue (K$)</v>
      </c>
      <c r="H6" s="16" t="str">
        <f>+TFP_dataset!X5&amp; " ("&amp;TFP_dataset!X3&amp; ")"</f>
        <v>Capital (K$)</v>
      </c>
      <c r="I6" s="16" t="s">
        <v>5</v>
      </c>
      <c r="J6" s="16" t="s">
        <v>216</v>
      </c>
      <c r="M6" s="246"/>
      <c r="N6" s="246"/>
      <c r="T6" s="357"/>
      <c r="U6" s="357"/>
    </row>
    <row r="7" spans="1:21" x14ac:dyDescent="0.25">
      <c r="B7" s="2">
        <v>2002</v>
      </c>
      <c r="C7" s="3">
        <f>SUMIFS(TFP_dataset!$G$6:$G$239,TFP_dataset!$D$6:$D$239,TFP_Calcs!$C$2,TFP_dataset!$F$6:$F$239,TFP_Calcs!$B7)</f>
        <v>30596.999999999996</v>
      </c>
      <c r="D7" s="3">
        <f>SUMIFS(TFP_dataset!$O$6:$O$239,TFP_dataset!$D$6:$D$239,TFP_Calcs!$C$2,TFP_dataset!$F$6:$F$239,TFP_Calcs!$B7)</f>
        <v>517395.47545000003</v>
      </c>
      <c r="E7" s="4">
        <f>AVERAGEIFS('NA comb O&amp;M price indexes'!$C17:$E17,'NA comb O&amp;M price indexes'!$C$4:$E$4,TFP_Calcs!$E$2)</f>
        <v>1</v>
      </c>
      <c r="F7" s="3">
        <f>SUMIFS(TFP_dataset!$R$6:$R$239,TFP_dataset!$D$6:$D$239,TFP_Calcs!$C$2,TFP_dataset!$F$6:$F$239,TFP_Calcs!$B7)</f>
        <v>93101673.593999997</v>
      </c>
      <c r="G7" s="3">
        <f>SUMIFS(TFP_dataset!$W$6:$W$239,TFP_dataset!$D$6:$D$239,TFP_Calcs!$C$2,TFP_dataset!$F$6:$F$239,TFP_Calcs!$B7)</f>
        <v>3580636.1040946147</v>
      </c>
      <c r="H7" s="3">
        <f t="shared" ref="H7:H17" si="0">G7-D7</f>
        <v>3063240.6286446145</v>
      </c>
      <c r="I7" s="139">
        <f>H7/G7</f>
        <v>0.85550179900763001</v>
      </c>
      <c r="J7" s="5">
        <f>1-I7</f>
        <v>0.14449820099236999</v>
      </c>
      <c r="M7" s="238"/>
      <c r="N7" s="238"/>
      <c r="P7" s="247"/>
      <c r="T7" s="104"/>
      <c r="U7" s="104"/>
    </row>
    <row r="8" spans="1:21" x14ac:dyDescent="0.25">
      <c r="B8" s="2">
        <v>2003</v>
      </c>
      <c r="C8" s="3">
        <f>SUMIFS(TFP_dataset!$G$6:$G$239,TFP_dataset!$D$6:$D$239,TFP_Calcs!$C$2,TFP_dataset!$F$6:$F$239,TFP_Calcs!$B8)</f>
        <v>31284.499999999996</v>
      </c>
      <c r="D8" s="3">
        <f>SUMIFS(TFP_dataset!$O$6:$O$239,TFP_dataset!$D$6:$D$239,TFP_Calcs!$C$2,TFP_dataset!$F$6:$F$239,TFP_Calcs!$B8)</f>
        <v>560842.60060000012</v>
      </c>
      <c r="E8" s="4">
        <f>AVERAGEIFS('NA comb O&amp;M price indexes'!$C18:$E18,'NA comb O&amp;M price indexes'!$C$4:$E$4,TFP_Calcs!$E$2)</f>
        <v>1.0238202306018325</v>
      </c>
      <c r="F8" s="3">
        <f>SUMIFS(TFP_dataset!$R$6:$R$239,TFP_dataset!$D$6:$D$239,TFP_Calcs!$C$2,TFP_dataset!$F$6:$F$239,TFP_Calcs!$B8)</f>
        <v>102685833.61399999</v>
      </c>
      <c r="G8" s="3">
        <f>SUMIFS(TFP_dataset!$W$6:$W$239,TFP_dataset!$D$6:$D$239,TFP_Calcs!$C$2,TFP_dataset!$F$6:$F$239,TFP_Calcs!$B8)</f>
        <v>4511026.4944742126</v>
      </c>
      <c r="H8" s="3">
        <f t="shared" si="0"/>
        <v>3950183.8938742126</v>
      </c>
      <c r="I8" s="139">
        <f t="shared" ref="I8:I17" si="1">H8/G8</f>
        <v>0.87567295353130714</v>
      </c>
      <c r="J8" s="5">
        <f t="shared" ref="J8:J17" si="2">1-I8</f>
        <v>0.12432704646869286</v>
      </c>
      <c r="M8" s="238"/>
      <c r="N8" s="238"/>
      <c r="P8" s="247"/>
      <c r="Q8" s="402"/>
      <c r="T8" s="104"/>
      <c r="U8" s="104"/>
    </row>
    <row r="9" spans="1:21" x14ac:dyDescent="0.25">
      <c r="B9" s="2">
        <v>2004</v>
      </c>
      <c r="C9" s="3">
        <f>SUMIFS(TFP_dataset!$G$6:$G$239,TFP_dataset!$D$6:$D$239,TFP_Calcs!$C$2,TFP_dataset!$F$6:$F$239,TFP_Calcs!$B9)</f>
        <v>31331.019999999997</v>
      </c>
      <c r="D9" s="3">
        <f>SUMIFS(TFP_dataset!$O$6:$O$239,TFP_dataset!$D$6:$D$239,TFP_Calcs!$C$2,TFP_dataset!$F$6:$F$239,TFP_Calcs!$B9)</f>
        <v>600682.51278999983</v>
      </c>
      <c r="E9" s="4">
        <f>AVERAGEIFS('NA comb O&amp;M price indexes'!$C19:$E19,'NA comb O&amp;M price indexes'!$C$4:$E$4,TFP_Calcs!$E$2)</f>
        <v>1.0526468999277974</v>
      </c>
      <c r="F9" s="3">
        <f>SUMIFS(TFP_dataset!$R$6:$R$239,TFP_dataset!$D$6:$D$239,TFP_Calcs!$C$2,TFP_dataset!$F$6:$F$239,TFP_Calcs!$B9)</f>
        <v>98966001.893999994</v>
      </c>
      <c r="G9" s="3">
        <f>SUMIFS(TFP_dataset!$W$6:$W$239,TFP_dataset!$D$6:$D$239,TFP_Calcs!$C$2,TFP_dataset!$F$6:$F$239,TFP_Calcs!$B9)</f>
        <v>4375511.8059701808</v>
      </c>
      <c r="H9" s="3">
        <f t="shared" si="0"/>
        <v>3774829.2931801807</v>
      </c>
      <c r="I9" s="5">
        <f t="shared" si="1"/>
        <v>0.86271719985524964</v>
      </c>
      <c r="J9" s="5">
        <f t="shared" si="2"/>
        <v>0.13728280014475036</v>
      </c>
      <c r="M9" s="238"/>
      <c r="N9" s="238"/>
      <c r="P9" s="247"/>
      <c r="Q9" s="402"/>
      <c r="T9" s="104"/>
      <c r="U9" s="104"/>
    </row>
    <row r="10" spans="1:21" x14ac:dyDescent="0.25">
      <c r="B10" s="2">
        <v>2005</v>
      </c>
      <c r="C10" s="3">
        <f>SUMIFS(TFP_dataset!$G$6:$G$239,TFP_dataset!$D$6:$D$239,TFP_Calcs!$C$2,TFP_dataset!$F$6:$F$239,TFP_Calcs!$B10)</f>
        <v>31309.42</v>
      </c>
      <c r="D10" s="3">
        <f>SUMIFS(TFP_dataset!$O$6:$O$239,TFP_dataset!$D$6:$D$239,TFP_Calcs!$C$2,TFP_dataset!$F$6:$F$239,TFP_Calcs!$B10)</f>
        <v>624682.85611000005</v>
      </c>
      <c r="E10" s="4">
        <f>AVERAGEIFS('NA comb O&amp;M price indexes'!$C20:$E20,'NA comb O&amp;M price indexes'!$C$4:$E$4,TFP_Calcs!$E$2)</f>
        <v>1.0837304002971</v>
      </c>
      <c r="F10" s="3">
        <f>SUMIFS(TFP_dataset!$R$6:$R$239,TFP_dataset!$D$6:$D$239,TFP_Calcs!$C$2,TFP_dataset!$F$6:$F$239,TFP_Calcs!$B10)</f>
        <v>100606791.301</v>
      </c>
      <c r="G10" s="3">
        <f>SUMIFS(TFP_dataset!$W$6:$W$239,TFP_dataset!$D$6:$D$239,TFP_Calcs!$C$2,TFP_dataset!$F$6:$F$239,TFP_Calcs!$B10)</f>
        <v>5379311.2403839109</v>
      </c>
      <c r="H10" s="3">
        <f t="shared" si="0"/>
        <v>4754628.3842739109</v>
      </c>
      <c r="I10" s="5">
        <f t="shared" si="1"/>
        <v>0.88387307813306271</v>
      </c>
      <c r="J10" s="5">
        <f t="shared" si="2"/>
        <v>0.11612692186693729</v>
      </c>
      <c r="M10" s="238"/>
      <c r="N10" s="238"/>
      <c r="P10" s="247"/>
      <c r="Q10" s="402"/>
      <c r="T10" s="104"/>
      <c r="U10" s="104"/>
    </row>
    <row r="11" spans="1:21" x14ac:dyDescent="0.25">
      <c r="B11" s="2">
        <v>2006</v>
      </c>
      <c r="C11" s="3">
        <f>SUMIFS(TFP_dataset!$G$6:$G$239,TFP_dataset!$D$6:$D$239,TFP_Calcs!$C$2,TFP_dataset!$F$6:$F$239,TFP_Calcs!$B11)</f>
        <v>31373.799999999996</v>
      </c>
      <c r="D11" s="3">
        <f>SUMIFS(TFP_dataset!$O$6:$O$239,TFP_dataset!$D$6:$D$239,TFP_Calcs!$C$2,TFP_dataset!$F$6:$F$239,TFP_Calcs!$B11)</f>
        <v>664432.66408999998</v>
      </c>
      <c r="E11" s="4">
        <f>AVERAGEIFS('NA comb O&amp;M price indexes'!$C21:$E21,'NA comb O&amp;M price indexes'!$C$4:$E$4,TFP_Calcs!$E$2)</f>
        <v>1.1143085687549752</v>
      </c>
      <c r="F11" s="3">
        <f>SUMIFS(TFP_dataset!$R$6:$R$239,TFP_dataset!$D$6:$D$239,TFP_Calcs!$C$2,TFP_dataset!$F$6:$F$239,TFP_Calcs!$B11)</f>
        <v>102422968.42</v>
      </c>
      <c r="G11" s="3">
        <f>SUMIFS(TFP_dataset!$W$6:$W$239,TFP_dataset!$D$6:$D$239,TFP_Calcs!$C$2,TFP_dataset!$F$6:$F$239,TFP_Calcs!$B11)</f>
        <v>4612210.2487583999</v>
      </c>
      <c r="H11" s="3">
        <f t="shared" si="0"/>
        <v>3947777.5846683998</v>
      </c>
      <c r="I11" s="5">
        <f t="shared" si="1"/>
        <v>0.8559405082912549</v>
      </c>
      <c r="J11" s="5">
        <f t="shared" si="2"/>
        <v>0.1440594917087451</v>
      </c>
      <c r="M11" s="238"/>
      <c r="N11" s="238"/>
      <c r="P11" s="247"/>
      <c r="Q11" s="402"/>
      <c r="T11" s="104"/>
      <c r="U11" s="104"/>
    </row>
    <row r="12" spans="1:21" x14ac:dyDescent="0.25">
      <c r="B12" s="2">
        <v>2007</v>
      </c>
      <c r="C12" s="3">
        <f>SUMIFS(TFP_dataset!$G$6:$G$239,TFP_dataset!$D$6:$D$239,TFP_Calcs!$C$2,TFP_dataset!$F$6:$F$239,TFP_Calcs!$B12)</f>
        <v>30700.599999999995</v>
      </c>
      <c r="D12" s="3">
        <f>SUMIFS(TFP_dataset!$O$6:$O$239,TFP_dataset!$D$6:$D$239,TFP_Calcs!$C$2,TFP_dataset!$F$6:$F$239,TFP_Calcs!$B12)</f>
        <v>721272.71756000002</v>
      </c>
      <c r="E12" s="4">
        <f>AVERAGEIFS('NA comb O&amp;M price indexes'!$C22:$E22,'NA comb O&amp;M price indexes'!$C$4:$E$4,TFP_Calcs!$E$2)</f>
        <v>1.1487086369464867</v>
      </c>
      <c r="F12" s="3">
        <f>SUMIFS(TFP_dataset!$R$6:$R$239,TFP_dataset!$D$6:$D$239,TFP_Calcs!$C$2,TFP_dataset!$F$6:$F$239,TFP_Calcs!$B12)</f>
        <v>85570974.307999998</v>
      </c>
      <c r="G12" s="3">
        <f>SUMIFS(TFP_dataset!$W$6:$W$239,TFP_dataset!$D$6:$D$239,TFP_Calcs!$C$2,TFP_dataset!$F$6:$F$239,TFP_Calcs!$B12)</f>
        <v>4096345.9821861805</v>
      </c>
      <c r="H12" s="3">
        <f t="shared" si="0"/>
        <v>3375073.2646261808</v>
      </c>
      <c r="I12" s="5">
        <f t="shared" si="1"/>
        <v>0.82392290087394826</v>
      </c>
      <c r="J12" s="5">
        <f t="shared" si="2"/>
        <v>0.17607709912605174</v>
      </c>
      <c r="M12" s="238"/>
      <c r="N12" s="238"/>
      <c r="P12" s="247"/>
      <c r="Q12" s="402"/>
      <c r="T12" s="104"/>
      <c r="U12" s="104"/>
    </row>
    <row r="13" spans="1:21" x14ac:dyDescent="0.25">
      <c r="B13" s="2">
        <v>2008</v>
      </c>
      <c r="C13" s="3">
        <f>SUMIFS(TFP_dataset!$G$6:$G$239,TFP_dataset!$D$6:$D$239,TFP_Calcs!$C$2,TFP_dataset!$F$6:$F$239,TFP_Calcs!$B13)</f>
        <v>31026.799999999996</v>
      </c>
      <c r="D13" s="3">
        <f>SUMIFS(TFP_dataset!$O$6:$O$239,TFP_dataset!$D$6:$D$239,TFP_Calcs!$C$2,TFP_dataset!$F$6:$F$239,TFP_Calcs!$B13)</f>
        <v>781647.92402000003</v>
      </c>
      <c r="E13" s="4">
        <f>AVERAGEIFS('NA comb O&amp;M price indexes'!$C23:$E23,'NA comb O&amp;M price indexes'!$C$4:$E$4,TFP_Calcs!$E$2)</f>
        <v>1.1792508922240832</v>
      </c>
      <c r="F13" s="3">
        <f>SUMIFS(TFP_dataset!$R$6:$R$239,TFP_dataset!$D$6:$D$239,TFP_Calcs!$C$2,TFP_dataset!$F$6:$F$239,TFP_Calcs!$B13)</f>
        <v>90123457.144999996</v>
      </c>
      <c r="G13" s="3">
        <f>SUMIFS(TFP_dataset!$W$6:$W$239,TFP_dataset!$D$6:$D$239,TFP_Calcs!$C$2,TFP_dataset!$F$6:$F$239,TFP_Calcs!$B13)</f>
        <v>5034783.7758249938</v>
      </c>
      <c r="H13" s="3">
        <f t="shared" si="0"/>
        <v>4253135.851804994</v>
      </c>
      <c r="I13" s="5">
        <f t="shared" si="1"/>
        <v>0.84475044831653767</v>
      </c>
      <c r="J13" s="5">
        <f t="shared" si="2"/>
        <v>0.15524955168346233</v>
      </c>
      <c r="M13" s="238"/>
      <c r="N13" s="238"/>
      <c r="P13" s="247"/>
      <c r="Q13" s="402"/>
      <c r="T13" s="104"/>
      <c r="U13" s="104"/>
    </row>
    <row r="14" spans="1:21" x14ac:dyDescent="0.25">
      <c r="B14" s="2">
        <v>2009</v>
      </c>
      <c r="C14" s="3">
        <f>SUMIFS(TFP_dataset!$G$6:$G$239,TFP_dataset!$D$6:$D$239,TFP_Calcs!$C$2,TFP_dataset!$F$6:$F$239,TFP_Calcs!$B14)</f>
        <v>31080.072999999993</v>
      </c>
      <c r="D14" s="3">
        <f>SUMIFS(TFP_dataset!$O$6:$O$239,TFP_dataset!$D$6:$D$239,TFP_Calcs!$C$2,TFP_dataset!$F$6:$F$239,TFP_Calcs!$B14)</f>
        <v>781773.3371499998</v>
      </c>
      <c r="E14" s="4">
        <f>AVERAGEIFS('NA comb O&amp;M price indexes'!$C24:$E24,'NA comb O&amp;M price indexes'!$C$4:$E$4,TFP_Calcs!$E$2)</f>
        <v>1.2013610146269948</v>
      </c>
      <c r="F14" s="3">
        <f>SUMIFS(TFP_dataset!$R$6:$R$239,TFP_dataset!$D$6:$D$239,TFP_Calcs!$C$2,TFP_dataset!$F$6:$F$239,TFP_Calcs!$B14)</f>
        <v>99004323.340000004</v>
      </c>
      <c r="G14" s="3">
        <f>SUMIFS(TFP_dataset!$W$6:$W$239,TFP_dataset!$D$6:$D$239,TFP_Calcs!$C$2,TFP_dataset!$F$6:$F$239,TFP_Calcs!$B14)</f>
        <v>3516180.2057647663</v>
      </c>
      <c r="H14" s="3">
        <f t="shared" si="0"/>
        <v>2734406.8686147667</v>
      </c>
      <c r="I14" s="5">
        <f t="shared" si="1"/>
        <v>0.7776640298843942</v>
      </c>
      <c r="J14" s="5">
        <f t="shared" si="2"/>
        <v>0.2223359701156058</v>
      </c>
      <c r="M14" s="238"/>
      <c r="N14" s="238"/>
      <c r="P14" s="247"/>
      <c r="Q14" s="402"/>
      <c r="T14" s="104"/>
      <c r="U14" s="104"/>
    </row>
    <row r="15" spans="1:21" x14ac:dyDescent="0.25">
      <c r="B15" s="2">
        <v>2010</v>
      </c>
      <c r="C15" s="3">
        <f>SUMIFS(TFP_dataset!$G$6:$G$239,TFP_dataset!$D$6:$D$239,TFP_Calcs!$C$2,TFP_dataset!$F$6:$F$239,TFP_Calcs!$B15)</f>
        <v>31084.619999999995</v>
      </c>
      <c r="D15" s="3">
        <f>SUMIFS(TFP_dataset!$O$6:$O$239,TFP_dataset!$D$6:$D$239,TFP_Calcs!$C$2,TFP_dataset!$F$6:$F$239,TFP_Calcs!$B15)</f>
        <v>840355.57521245535</v>
      </c>
      <c r="E15" s="4">
        <f>AVERAGEIFS('NA comb O&amp;M price indexes'!$C25:$E25,'NA comb O&amp;M price indexes'!$C$4:$E$4,TFP_Calcs!$E$2)</f>
        <v>1.2275959635524438</v>
      </c>
      <c r="F15" s="3">
        <f>SUMIFS(TFP_dataset!$R$6:$R$239,TFP_dataset!$D$6:$D$239,TFP_Calcs!$C$2,TFP_dataset!$F$6:$F$239,TFP_Calcs!$B15)</f>
        <v>94503336.170000002</v>
      </c>
      <c r="G15" s="3">
        <f>SUMIFS(TFP_dataset!$W$6:$W$239,TFP_dataset!$D$6:$D$239,TFP_Calcs!$C$2,TFP_dataset!$F$6:$F$239,TFP_Calcs!$B15)</f>
        <v>3422343.089991231</v>
      </c>
      <c r="H15" s="3">
        <f t="shared" si="0"/>
        <v>2581987.5147787756</v>
      </c>
      <c r="I15" s="5">
        <f t="shared" si="1"/>
        <v>0.75445022514834759</v>
      </c>
      <c r="J15" s="5">
        <f t="shared" si="2"/>
        <v>0.24554977485165241</v>
      </c>
      <c r="M15" s="238"/>
      <c r="N15" s="238"/>
      <c r="P15" s="247"/>
      <c r="Q15" s="402"/>
      <c r="T15" s="104"/>
      <c r="U15" s="104"/>
    </row>
    <row r="16" spans="1:21" x14ac:dyDescent="0.25">
      <c r="B16" s="2">
        <v>2011</v>
      </c>
      <c r="C16" s="3">
        <f>SUMIFS(TFP_dataset!$G$6:$G$239,TFP_dataset!$D$6:$D$239,TFP_Calcs!$C$2,TFP_dataset!$F$6:$F$239,TFP_Calcs!$B16)</f>
        <v>30703.879999999997</v>
      </c>
      <c r="D16" s="3">
        <f>SUMIFS(TFP_dataset!$O$6:$O$239,TFP_dataset!$D$6:$D$239,TFP_Calcs!$C$2,TFP_dataset!$F$6:$F$239,TFP_Calcs!$B16)</f>
        <v>813814.76686432119</v>
      </c>
      <c r="E16" s="4">
        <f>AVERAGEIFS('NA comb O&amp;M price indexes'!$C26:$E26,'NA comb O&amp;M price indexes'!$C$4:$E$4,TFP_Calcs!$E$2)</f>
        <v>1.2558568839042634</v>
      </c>
      <c r="F16" s="3">
        <f>SUMIFS(TFP_dataset!$R$6:$R$239,TFP_dataset!$D$6:$D$239,TFP_Calcs!$C$2,TFP_dataset!$F$6:$F$239,TFP_Calcs!$B16)</f>
        <v>100040995.34200001</v>
      </c>
      <c r="G16" s="3">
        <f>SUMIFS(TFP_dataset!$W$6:$W$239,TFP_dataset!$D$6:$D$239,TFP_Calcs!$C$2,TFP_dataset!$F$6:$F$239,TFP_Calcs!$B16)</f>
        <v>3339014.882398806</v>
      </c>
      <c r="H16" s="3">
        <f t="shared" si="0"/>
        <v>2525200.1155344849</v>
      </c>
      <c r="I16" s="5">
        <f t="shared" si="1"/>
        <v>0.7562709974267432</v>
      </c>
      <c r="J16" s="5">
        <f t="shared" si="2"/>
        <v>0.2437290025732568</v>
      </c>
      <c r="M16" s="238"/>
      <c r="N16" s="238"/>
      <c r="P16" s="247"/>
      <c r="Q16" s="402"/>
      <c r="T16" s="104"/>
      <c r="U16" s="104"/>
    </row>
    <row r="17" spans="2:21" x14ac:dyDescent="0.25">
      <c r="B17" s="2">
        <v>2012</v>
      </c>
      <c r="C17" s="3">
        <f>SUMIFS(TFP_dataset!$G$6:$G$239,TFP_dataset!$D$6:$D$239,TFP_Calcs!$C$2,TFP_dataset!$F$6:$F$239,TFP_Calcs!$B17)</f>
        <v>30801.859999999997</v>
      </c>
      <c r="D17" s="3">
        <f>SUMIFS(TFP_dataset!$O$6:$O$239,TFP_dataset!$D$6:$D$239,TFP_Calcs!$C$2,TFP_dataset!$F$6:$F$239,TFP_Calcs!$B17)</f>
        <v>825096.55467786442</v>
      </c>
      <c r="E17" s="4">
        <f>AVERAGEIFS('NA comb O&amp;M price indexes'!$C27:$E27,'NA comb O&amp;M price indexes'!$C$4:$E$4,TFP_Calcs!$E$2)</f>
        <v>1.2814663107977542</v>
      </c>
      <c r="F17" s="3">
        <f>SUMIFS(TFP_dataset!$R$6:$R$239,TFP_dataset!$D$6:$D$239,TFP_Calcs!$C$2,TFP_dataset!$F$6:$F$239,TFP_Calcs!$B17)</f>
        <v>86640889.122999996</v>
      </c>
      <c r="G17" s="3">
        <f>SUMIFS(TFP_dataset!$W$6:$W$239,TFP_dataset!$D$6:$D$239,TFP_Calcs!$C$2,TFP_dataset!$F$6:$F$239,TFP_Calcs!$B17)</f>
        <v>2470493.8921806784</v>
      </c>
      <c r="H17" s="3">
        <f t="shared" si="0"/>
        <v>1645397.3375028139</v>
      </c>
      <c r="I17" s="5">
        <f t="shared" si="1"/>
        <v>0.66601959337387362</v>
      </c>
      <c r="J17" s="5">
        <f t="shared" si="2"/>
        <v>0.33398040662612638</v>
      </c>
      <c r="M17" s="238"/>
      <c r="N17" s="238"/>
      <c r="P17" s="247"/>
      <c r="Q17" s="402"/>
      <c r="T17" s="104"/>
      <c r="U17" s="104"/>
    </row>
    <row r="18" spans="2:21" x14ac:dyDescent="0.25">
      <c r="B18" s="2">
        <v>2013</v>
      </c>
      <c r="C18" s="3">
        <f>SUMIFS(TFP_dataset!$G$6:$G$239,TFP_dataset!$D$6:$D$239,TFP_Calcs!$C$2,TFP_dataset!$F$6:$F$239,TFP_Calcs!$B18)</f>
        <v>30961.65</v>
      </c>
      <c r="D18" s="3">
        <f>SUMIFS(TFP_dataset!$O$6:$O$239,TFP_dataset!$D$6:$D$239,TFP_Calcs!$C$2,TFP_dataset!$F$6:$F$239,TFP_Calcs!$B18)</f>
        <v>841942.20095000009</v>
      </c>
      <c r="E18" s="4">
        <f>AVERAGEIFS('NA comb O&amp;M price indexes'!$C28:$E28,'NA comb O&amp;M price indexes'!$C$4:$E$4,TFP_Calcs!$E$2)</f>
        <v>1.3089737067869729</v>
      </c>
      <c r="F18" s="3">
        <f>SUMIFS(TFP_dataset!$R$6:$R$239,TFP_dataset!$D$6:$D$239,TFP_Calcs!$C$2,TFP_dataset!$F$6:$F$239,TFP_Calcs!$B18)</f>
        <v>88883057.372000009</v>
      </c>
      <c r="G18" s="3">
        <f>SUMIFS(TFP_dataset!$W$6:$W$239,TFP_dataset!$D$6:$D$239,TFP_Calcs!$C$2,TFP_dataset!$F$6:$F$239,TFP_Calcs!$B18)</f>
        <v>3327949.5758225247</v>
      </c>
      <c r="H18" s="3">
        <f>G18-D18</f>
        <v>2486007.3748725248</v>
      </c>
      <c r="I18" s="5">
        <f>H18/G18</f>
        <v>0.74700872661452256</v>
      </c>
      <c r="J18" s="5">
        <f>1-I18</f>
        <v>0.25299127338547744</v>
      </c>
      <c r="M18" s="238"/>
      <c r="N18" s="238"/>
      <c r="P18" s="247"/>
      <c r="Q18" s="402"/>
      <c r="T18" s="104"/>
      <c r="U18" s="104"/>
    </row>
    <row r="19" spans="2:21" x14ac:dyDescent="0.25">
      <c r="B19" s="2">
        <v>2014</v>
      </c>
      <c r="C19" s="3">
        <f>SUMIFS(TFP_dataset!$G$6:$G$239,TFP_dataset!$D$6:$D$239,TFP_Calcs!$C$2,TFP_dataset!$F$6:$F$239,TFP_Calcs!$B19)</f>
        <v>31168.479999999996</v>
      </c>
      <c r="D19" s="3">
        <f>SUMIFS(TFP_dataset!$O$6:$O$239,TFP_dataset!$D$6:$D$239,TFP_Calcs!$C$2,TFP_dataset!$F$6:$F$239,TFP_Calcs!$B19)</f>
        <v>865336.70960408752</v>
      </c>
      <c r="E19" s="4">
        <f>AVERAGEIFS('NA comb O&amp;M price indexes'!$C29:$E29,'NA comb O&amp;M price indexes'!$C$4:$E$4,TFP_Calcs!$E$2)</f>
        <v>1.3397224634267082</v>
      </c>
      <c r="F19" s="3">
        <f>SUMIFS(TFP_dataset!$R$6:$R$239,TFP_dataset!$D$6:$D$239,TFP_Calcs!$C$2,TFP_dataset!$F$6:$F$239,TFP_Calcs!$B19)</f>
        <v>86259635.748999998</v>
      </c>
      <c r="G19" s="3">
        <f>SUMIFS(TFP_dataset!$W$6:$W$239,TFP_dataset!$D$6:$D$239,TFP_Calcs!$C$2,TFP_dataset!$F$6:$F$239,TFP_Calcs!$B19)</f>
        <v>3620717.7099698973</v>
      </c>
      <c r="H19" s="3">
        <f>G19-D19</f>
        <v>2755381.0003658095</v>
      </c>
      <c r="I19" s="5">
        <f>H19/G19</f>
        <v>0.76100409396144775</v>
      </c>
      <c r="J19" s="5">
        <f>1-I19</f>
        <v>0.23899590603855225</v>
      </c>
      <c r="M19" s="238"/>
      <c r="N19" s="238"/>
      <c r="P19" s="247"/>
      <c r="Q19" s="402"/>
      <c r="T19" s="104"/>
      <c r="U19" s="104"/>
    </row>
    <row r="20" spans="2:21" x14ac:dyDescent="0.25">
      <c r="B20" s="2"/>
      <c r="C20" s="2"/>
      <c r="D20" s="2"/>
      <c r="E20" s="2"/>
      <c r="F20" s="2"/>
      <c r="G20" s="2"/>
      <c r="H20" s="2"/>
      <c r="I20" s="2"/>
      <c r="Q20" s="403"/>
    </row>
    <row r="21" spans="2:21" x14ac:dyDescent="0.25">
      <c r="B21" s="2"/>
      <c r="C21" s="2"/>
      <c r="D21" s="2"/>
      <c r="E21" s="2"/>
      <c r="F21" s="2"/>
      <c r="G21" s="2"/>
      <c r="H21" s="2"/>
      <c r="I21" s="2"/>
    </row>
    <row r="22" spans="2:21" ht="14.25" customHeight="1" x14ac:dyDescent="0.3">
      <c r="B22" s="251" t="s">
        <v>266</v>
      </c>
      <c r="C22" s="250"/>
      <c r="D22" s="250"/>
      <c r="E22" s="250"/>
      <c r="F22" s="250"/>
      <c r="G22" s="250"/>
      <c r="H22" s="250"/>
      <c r="I22" s="250"/>
      <c r="J22" s="250"/>
      <c r="K22" s="250"/>
    </row>
    <row r="23" spans="2:21" ht="15" x14ac:dyDescent="0.3">
      <c r="B23" s="67" t="s">
        <v>6</v>
      </c>
      <c r="C23" s="79"/>
      <c r="D23" s="79"/>
      <c r="E23" s="79"/>
      <c r="H23" s="67" t="s">
        <v>99</v>
      </c>
      <c r="I23" s="79"/>
      <c r="J23" s="79"/>
      <c r="K23" s="79"/>
    </row>
    <row r="24" spans="2:21" ht="15" x14ac:dyDescent="0.3">
      <c r="B24" s="67"/>
      <c r="C24" s="68" t="s">
        <v>7</v>
      </c>
      <c r="D24" s="68" t="s">
        <v>7</v>
      </c>
      <c r="E24" s="68" t="s">
        <v>8</v>
      </c>
      <c r="H24" s="67"/>
      <c r="I24" s="68" t="s">
        <v>7</v>
      </c>
      <c r="J24" s="68" t="s">
        <v>7</v>
      </c>
      <c r="K24" s="68" t="s">
        <v>8</v>
      </c>
    </row>
    <row r="25" spans="2:21" ht="15" x14ac:dyDescent="0.25">
      <c r="B25" s="68" t="s">
        <v>4</v>
      </c>
      <c r="C25" s="68" t="s">
        <v>5</v>
      </c>
      <c r="D25" s="68" t="str">
        <f>TFP_dataset!O5</f>
        <v>O&amp;M_total</v>
      </c>
      <c r="E25" s="68" t="s">
        <v>9</v>
      </c>
      <c r="H25" s="68" t="s">
        <v>4</v>
      </c>
      <c r="I25" s="68" t="s">
        <v>5</v>
      </c>
      <c r="J25" s="68" t="str">
        <f>D25</f>
        <v>O&amp;M_total</v>
      </c>
      <c r="K25" s="68" t="s">
        <v>9</v>
      </c>
    </row>
    <row r="26" spans="2:21" x14ac:dyDescent="0.25">
      <c r="B26" s="2">
        <v>2002</v>
      </c>
      <c r="C26" s="6">
        <f t="shared" ref="C26:C36" si="3">(C7/$C$7)</f>
        <v>1</v>
      </c>
      <c r="D26" s="6">
        <f>(D7/E7)/($D$7/$E$7)</f>
        <v>1</v>
      </c>
      <c r="E26" s="9">
        <f t="shared" ref="E26:E36" si="4">F7/$F$7</f>
        <v>1</v>
      </c>
      <c r="F26" s="9"/>
      <c r="H26" s="94">
        <v>2002</v>
      </c>
      <c r="I26" s="144"/>
      <c r="J26" s="145"/>
      <c r="K26" s="146"/>
    </row>
    <row r="27" spans="2:21" x14ac:dyDescent="0.25">
      <c r="B27" s="2">
        <v>2003</v>
      </c>
      <c r="C27" s="6">
        <f t="shared" si="3"/>
        <v>1.0224695231558649</v>
      </c>
      <c r="D27" s="6">
        <f>(D8/E8)/($D$7/$E$7)</f>
        <v>1.0587530171733233</v>
      </c>
      <c r="E27" s="9">
        <f t="shared" si="4"/>
        <v>1.1029429402289246</v>
      </c>
      <c r="F27" s="9"/>
      <c r="G27" s="105"/>
      <c r="H27" s="94">
        <v>2003</v>
      </c>
      <c r="I27" s="252">
        <f>LN(C27/C26)</f>
        <v>2.2220802286072934E-2</v>
      </c>
      <c r="J27" s="252">
        <f t="shared" ref="J27:J36" si="5">LN(D27/D26)</f>
        <v>5.7091816730548986E-2</v>
      </c>
      <c r="K27" s="252">
        <f t="shared" ref="K27:K36" si="6">LN(E27/E26)</f>
        <v>9.798200749981674E-2</v>
      </c>
    </row>
    <row r="28" spans="2:21" x14ac:dyDescent="0.25">
      <c r="B28" s="2">
        <v>2004</v>
      </c>
      <c r="C28" s="6">
        <f t="shared" si="3"/>
        <v>1.0239899336536262</v>
      </c>
      <c r="D28" s="6">
        <f>(D9/E9)/($D$7/$E$7)</f>
        <v>1.1029089132001895</v>
      </c>
      <c r="E28" s="9">
        <f t="shared" si="4"/>
        <v>1.0629884305364188</v>
      </c>
      <c r="F28" s="9"/>
      <c r="G28" s="105"/>
      <c r="H28" s="94">
        <v>2004</v>
      </c>
      <c r="I28" s="252">
        <f t="shared" ref="I28:I36" si="7">LN(C28/C27)</f>
        <v>1.4858938665436327E-3</v>
      </c>
      <c r="J28" s="252">
        <f t="shared" si="5"/>
        <v>4.085933916997752E-2</v>
      </c>
      <c r="K28" s="252">
        <f t="shared" si="6"/>
        <v>-3.6897791984353397E-2</v>
      </c>
    </row>
    <row r="29" spans="2:21" x14ac:dyDescent="0.25">
      <c r="B29" s="2">
        <v>2005</v>
      </c>
      <c r="C29" s="6">
        <f t="shared" si="3"/>
        <v>1.0232839820897475</v>
      </c>
      <c r="D29" s="6">
        <f t="shared" ref="D29:D35" si="8">(D10/E10)/($D$7/$E$7)</f>
        <v>1.1140782728548062</v>
      </c>
      <c r="E29" s="9">
        <f t="shared" si="4"/>
        <v>1.0806120600981728</v>
      </c>
      <c r="F29" s="9"/>
      <c r="G29" s="105"/>
      <c r="H29" s="94">
        <v>2005</v>
      </c>
      <c r="I29" s="252">
        <f t="shared" si="7"/>
        <v>-6.8965035546078579E-4</v>
      </c>
      <c r="J29" s="252">
        <f t="shared" si="5"/>
        <v>1.0076246022067199E-2</v>
      </c>
      <c r="K29" s="252">
        <f t="shared" si="6"/>
        <v>1.6443387407344325E-2</v>
      </c>
    </row>
    <row r="30" spans="2:21" x14ac:dyDescent="0.25">
      <c r="B30" s="2">
        <v>2006</v>
      </c>
      <c r="C30" s="6">
        <f t="shared" si="3"/>
        <v>1.0253881099454194</v>
      </c>
      <c r="D30" s="6">
        <f t="shared" si="8"/>
        <v>1.1524520848278599</v>
      </c>
      <c r="E30" s="9">
        <f t="shared" si="4"/>
        <v>1.1001195195120608</v>
      </c>
      <c r="F30" s="9"/>
      <c r="G30" s="105"/>
      <c r="H30" s="94">
        <v>2006</v>
      </c>
      <c r="I30" s="252">
        <f t="shared" si="7"/>
        <v>2.0541389749134595E-3</v>
      </c>
      <c r="J30" s="252">
        <f t="shared" si="5"/>
        <v>3.3864518115136577E-2</v>
      </c>
      <c r="K30" s="252">
        <f t="shared" si="6"/>
        <v>1.78912250809613E-2</v>
      </c>
    </row>
    <row r="31" spans="2:21" x14ac:dyDescent="0.25">
      <c r="B31" s="2">
        <v>2007</v>
      </c>
      <c r="C31" s="6">
        <f t="shared" si="3"/>
        <v>1.0033859528711966</v>
      </c>
      <c r="D31" s="6">
        <f t="shared" si="8"/>
        <v>1.2135760362442907</v>
      </c>
      <c r="E31" s="9">
        <f t="shared" si="4"/>
        <v>0.91911316955654254</v>
      </c>
      <c r="F31" s="9"/>
      <c r="G31" s="105"/>
      <c r="H31" s="94">
        <v>2007</v>
      </c>
      <c r="I31" s="252">
        <f t="shared" si="7"/>
        <v>-2.1690951332448152E-2</v>
      </c>
      <c r="J31" s="252">
        <f t="shared" si="5"/>
        <v>5.1679482811170227E-2</v>
      </c>
      <c r="K31" s="252">
        <f t="shared" si="6"/>
        <v>-0.17976484797186745</v>
      </c>
    </row>
    <row r="32" spans="2:21" x14ac:dyDescent="0.25">
      <c r="B32" s="2">
        <v>2008</v>
      </c>
      <c r="C32" s="6">
        <f t="shared" si="3"/>
        <v>1.0140471288034774</v>
      </c>
      <c r="D32" s="6">
        <f t="shared" si="8"/>
        <v>1.2810979573234684</v>
      </c>
      <c r="E32" s="9">
        <f t="shared" si="4"/>
        <v>0.96801113949908701</v>
      </c>
      <c r="F32" s="9"/>
      <c r="G32" s="105"/>
      <c r="H32" s="94">
        <v>2008</v>
      </c>
      <c r="I32" s="252">
        <f t="shared" si="7"/>
        <v>1.0569148759234587E-2</v>
      </c>
      <c r="J32" s="252">
        <f t="shared" si="5"/>
        <v>5.4146086559287411E-2</v>
      </c>
      <c r="K32" s="252">
        <f t="shared" si="6"/>
        <v>5.1834335943315629E-2</v>
      </c>
    </row>
    <row r="33" spans="2:17" x14ac:dyDescent="0.25">
      <c r="B33" s="2">
        <v>2009</v>
      </c>
      <c r="C33" s="6">
        <f t="shared" si="3"/>
        <v>1.0157882472137789</v>
      </c>
      <c r="D33" s="6">
        <f t="shared" si="8"/>
        <v>1.257722103493073</v>
      </c>
      <c r="E33" s="9">
        <f t="shared" si="4"/>
        <v>1.0634000390985496</v>
      </c>
      <c r="F33" s="9"/>
      <c r="G33" s="105"/>
      <c r="H33" s="94">
        <v>2009</v>
      </c>
      <c r="I33" s="252">
        <f t="shared" si="7"/>
        <v>1.7155271386904165E-3</v>
      </c>
      <c r="J33" s="252">
        <f t="shared" si="5"/>
        <v>-1.841525895632453E-2</v>
      </c>
      <c r="K33" s="252">
        <f t="shared" si="6"/>
        <v>9.3983042880373985E-2</v>
      </c>
    </row>
    <row r="34" spans="2:17" x14ac:dyDescent="0.25">
      <c r="B34" s="2">
        <v>2010</v>
      </c>
      <c r="C34" s="6">
        <f t="shared" si="3"/>
        <v>1.0159368565545641</v>
      </c>
      <c r="D34" s="6">
        <f t="shared" si="8"/>
        <v>1.323076657305682</v>
      </c>
      <c r="E34" s="9">
        <f t="shared" si="4"/>
        <v>1.0150551813076143</v>
      </c>
      <c r="F34" s="9"/>
      <c r="G34" s="105"/>
      <c r="H34" s="94">
        <v>2010</v>
      </c>
      <c r="I34" s="252">
        <f t="shared" si="7"/>
        <v>1.4628882694284971E-4</v>
      </c>
      <c r="J34" s="252">
        <f>LN(D34/D33)</f>
        <v>5.0657595032374665E-2</v>
      </c>
      <c r="K34" s="252">
        <f t="shared" si="6"/>
        <v>-4.6528382019298452E-2</v>
      </c>
    </row>
    <row r="35" spans="2:17" x14ac:dyDescent="0.25">
      <c r="B35" s="2">
        <v>2011</v>
      </c>
      <c r="C35" s="6">
        <f t="shared" si="3"/>
        <v>1.0034931529234892</v>
      </c>
      <c r="D35" s="6">
        <f t="shared" si="8"/>
        <v>1.2524568977649393</v>
      </c>
      <c r="E35" s="9">
        <f t="shared" si="4"/>
        <v>1.0745348765507823</v>
      </c>
      <c r="F35" s="9"/>
      <c r="G35" s="105"/>
      <c r="H35" s="94">
        <v>2011</v>
      </c>
      <c r="I35" s="252">
        <f t="shared" si="7"/>
        <v>-1.23241321288384E-2</v>
      </c>
      <c r="J35" s="252">
        <f t="shared" si="5"/>
        <v>-5.4852685061619125E-2</v>
      </c>
      <c r="K35" s="252">
        <f t="shared" si="6"/>
        <v>5.6944918137356512E-2</v>
      </c>
    </row>
    <row r="36" spans="2:17" x14ac:dyDescent="0.25">
      <c r="B36" s="2">
        <v>2012</v>
      </c>
      <c r="C36" s="6">
        <f t="shared" si="3"/>
        <v>1.0066954276563063</v>
      </c>
      <c r="D36" s="6">
        <f>(D17/E17)/($D$7/$E$7)</f>
        <v>1.2444428415615754</v>
      </c>
      <c r="E36" s="9">
        <f t="shared" si="4"/>
        <v>0.93060506625074924</v>
      </c>
      <c r="F36" s="9"/>
      <c r="G36" s="105"/>
      <c r="H36" s="94">
        <v>2012</v>
      </c>
      <c r="I36" s="252">
        <f t="shared" si="7"/>
        <v>3.1860467943980487E-3</v>
      </c>
      <c r="J36" s="252">
        <f t="shared" si="5"/>
        <v>-6.4192274894958982E-3</v>
      </c>
      <c r="K36" s="252">
        <f t="shared" si="6"/>
        <v>-0.1438081904909089</v>
      </c>
    </row>
    <row r="37" spans="2:17" x14ac:dyDescent="0.25">
      <c r="B37" s="2">
        <v>2013</v>
      </c>
      <c r="C37" s="6">
        <f>(C18/$C$7)</f>
        <v>1.0119178350818709</v>
      </c>
      <c r="D37" s="6">
        <f>(D18/E18)/($D$7/$E$7)</f>
        <v>1.243164869072275</v>
      </c>
      <c r="E37" s="9">
        <f>F18/$F$7</f>
        <v>0.95468807316615345</v>
      </c>
      <c r="F37" s="9"/>
      <c r="G37" s="105"/>
      <c r="H37" s="94">
        <v>2013</v>
      </c>
      <c r="I37" s="252">
        <f t="shared" ref="I37:K38" si="9">LN(C37/C36)</f>
        <v>5.1742641085252335E-3</v>
      </c>
      <c r="J37" s="252">
        <f t="shared" si="9"/>
        <v>-1.0274711694023772E-3</v>
      </c>
      <c r="K37" s="252">
        <f t="shared" si="9"/>
        <v>2.5549678705396178E-2</v>
      </c>
    </row>
    <row r="38" spans="2:17" x14ac:dyDescent="0.25">
      <c r="B38" s="2">
        <v>2014</v>
      </c>
      <c r="C38" s="6">
        <f>(C19/$C$7)</f>
        <v>1.018677648135438</v>
      </c>
      <c r="D38" s="6">
        <f>(D19/E19)/($D$7/$E$7)</f>
        <v>1.2483824711337934</v>
      </c>
      <c r="E38" s="9">
        <f>F19/$F$7</f>
        <v>0.92651004454724495</v>
      </c>
      <c r="F38" s="9"/>
      <c r="G38" s="105"/>
      <c r="H38" s="94">
        <v>2014</v>
      </c>
      <c r="I38" s="252">
        <f t="shared" si="9"/>
        <v>6.6579858771523255E-3</v>
      </c>
      <c r="J38" s="252">
        <f t="shared" si="9"/>
        <v>4.1882484866608838E-3</v>
      </c>
      <c r="K38" s="252">
        <f t="shared" si="9"/>
        <v>-2.9959775114263447E-2</v>
      </c>
    </row>
    <row r="39" spans="2:17" ht="15" x14ac:dyDescent="0.3">
      <c r="G39" s="147"/>
      <c r="H39" s="87" t="s">
        <v>96</v>
      </c>
      <c r="I39" s="188">
        <f>AVERAGE(I27:I38)</f>
        <v>1.5421135679771793E-3</v>
      </c>
      <c r="J39" s="188">
        <f>AVERAGE(J27:J38)</f>
        <v>1.8487390854198461E-2</v>
      </c>
      <c r="K39" s="253">
        <f>AVERAGE(K27:K38)</f>
        <v>-6.3608659938439146E-3</v>
      </c>
    </row>
    <row r="40" spans="2:17" x14ac:dyDescent="0.25">
      <c r="K40" s="66"/>
    </row>
    <row r="41" spans="2:17" s="356" customFormat="1" ht="14.25" customHeight="1" x14ac:dyDescent="0.3">
      <c r="B41" s="255" t="s">
        <v>267</v>
      </c>
      <c r="C41" s="254"/>
      <c r="D41" s="254"/>
      <c r="E41" s="254"/>
      <c r="F41" s="254"/>
      <c r="G41" s="254"/>
      <c r="H41" s="254"/>
      <c r="I41" s="254"/>
      <c r="J41" s="254"/>
      <c r="K41" s="254"/>
      <c r="L41" s="404"/>
      <c r="M41" s="404"/>
      <c r="N41" s="404"/>
      <c r="O41" s="404"/>
      <c r="P41" s="404"/>
      <c r="Q41" s="404"/>
    </row>
    <row r="42" spans="2:17" ht="15" x14ac:dyDescent="0.3">
      <c r="B42" s="67" t="s">
        <v>10</v>
      </c>
      <c r="C42" s="79"/>
      <c r="D42" s="79"/>
      <c r="E42" s="86"/>
      <c r="H42" s="67" t="s">
        <v>104</v>
      </c>
      <c r="I42" s="79"/>
      <c r="J42" s="79"/>
      <c r="K42" s="79"/>
    </row>
    <row r="43" spans="2:17" ht="15" x14ac:dyDescent="0.3">
      <c r="B43" s="67"/>
      <c r="C43" s="68" t="s">
        <v>7</v>
      </c>
      <c r="D43" s="68" t="s">
        <v>7</v>
      </c>
      <c r="E43" s="68" t="s">
        <v>8</v>
      </c>
      <c r="H43" s="67"/>
      <c r="I43" s="68" t="s">
        <v>7</v>
      </c>
      <c r="J43" s="68" t="s">
        <v>7</v>
      </c>
      <c r="K43" s="68" t="s">
        <v>8</v>
      </c>
    </row>
    <row r="44" spans="2:17" ht="15" x14ac:dyDescent="0.25">
      <c r="B44" s="68" t="s">
        <v>4</v>
      </c>
      <c r="C44" s="68" t="s">
        <v>5</v>
      </c>
      <c r="D44" s="68" t="str">
        <f>D25</f>
        <v>O&amp;M_total</v>
      </c>
      <c r="E44" s="68" t="s">
        <v>9</v>
      </c>
      <c r="H44" s="68" t="s">
        <v>4</v>
      </c>
      <c r="I44" s="68" t="s">
        <v>5</v>
      </c>
      <c r="J44" s="68" t="str">
        <f>D44</f>
        <v>O&amp;M_total</v>
      </c>
      <c r="K44" s="68" t="s">
        <v>9</v>
      </c>
    </row>
    <row r="45" spans="2:17" x14ac:dyDescent="0.25">
      <c r="B45" s="2">
        <v>2002</v>
      </c>
      <c r="C45" s="8">
        <f>($G7*$I7)/C26</f>
        <v>3063240.6286446145</v>
      </c>
      <c r="D45" s="8">
        <f t="shared" ref="D45:D55" si="10">($G7*$J7)/D26</f>
        <v>517395.47545000026</v>
      </c>
      <c r="E45" s="8">
        <f t="shared" ref="E45:E55" si="11">($G7)/E26</f>
        <v>3580636.1040946147</v>
      </c>
      <c r="H45" s="2">
        <v>2002</v>
      </c>
      <c r="I45" s="256"/>
      <c r="J45" s="257"/>
      <c r="K45" s="150"/>
    </row>
    <row r="46" spans="2:17" x14ac:dyDescent="0.25">
      <c r="B46" s="2">
        <v>2003</v>
      </c>
      <c r="C46" s="8">
        <f t="shared" ref="C46:C55" si="12">($G8*$I8)/C27</f>
        <v>3863375.6844721599</v>
      </c>
      <c r="D46" s="8">
        <f t="shared" si="10"/>
        <v>529719.95498756377</v>
      </c>
      <c r="E46" s="8">
        <f t="shared" si="11"/>
        <v>4089990.8145183949</v>
      </c>
      <c r="H46" s="2">
        <v>2003</v>
      </c>
      <c r="I46" s="258">
        <f>LN(C46/C45)</f>
        <v>0.23206794639694076</v>
      </c>
      <c r="J46" s="258">
        <f t="shared" ref="J46:K55" si="13">LN(D46/D45)</f>
        <v>2.3540955152649996E-2</v>
      </c>
      <c r="K46" s="258">
        <f>LN(E46/E45)</f>
        <v>0.13300225687626599</v>
      </c>
    </row>
    <row r="47" spans="2:17" x14ac:dyDescent="0.25">
      <c r="B47" s="2">
        <v>2004</v>
      </c>
      <c r="C47" s="8">
        <f t="shared" si="12"/>
        <v>3686392.970399112</v>
      </c>
      <c r="D47" s="8">
        <f t="shared" si="10"/>
        <v>544634.74326911161</v>
      </c>
      <c r="E47" s="8">
        <f t="shared" si="11"/>
        <v>4116236.527393016</v>
      </c>
      <c r="F47" s="8"/>
      <c r="H47" s="2">
        <v>2004</v>
      </c>
      <c r="I47" s="258">
        <f t="shared" ref="I47:I55" si="14">LN(C47/C46)</f>
        <v>-4.6892865778201426E-2</v>
      </c>
      <c r="J47" s="258">
        <f t="shared" si="13"/>
        <v>2.7766894060386217E-2</v>
      </c>
      <c r="K47" s="258">
        <f t="shared" si="13"/>
        <v>6.3965574605843569E-3</v>
      </c>
    </row>
    <row r="48" spans="2:17" x14ac:dyDescent="0.25">
      <c r="B48" s="2">
        <v>2005</v>
      </c>
      <c r="C48" s="8">
        <f t="shared" si="12"/>
        <v>4646440.7412730362</v>
      </c>
      <c r="D48" s="8">
        <f t="shared" si="10"/>
        <v>560717.20572133677</v>
      </c>
      <c r="E48" s="8">
        <f t="shared" si="11"/>
        <v>4978022.5846222788</v>
      </c>
      <c r="F48" s="8"/>
      <c r="H48" s="2">
        <v>2005</v>
      </c>
      <c r="I48" s="258">
        <f t="shared" si="14"/>
        <v>0.23145302934605957</v>
      </c>
      <c r="J48" s="258">
        <f t="shared" si="13"/>
        <v>2.9101314658393614E-2</v>
      </c>
      <c r="K48" s="258">
        <f t="shared" si="13"/>
        <v>0.19009345914811657</v>
      </c>
    </row>
    <row r="49" spans="2:11" x14ac:dyDescent="0.25">
      <c r="B49" s="2">
        <v>2006</v>
      </c>
      <c r="C49" s="8">
        <f t="shared" si="12"/>
        <v>3850032.5353670591</v>
      </c>
      <c r="D49" s="8">
        <f t="shared" si="10"/>
        <v>576538.21172898938</v>
      </c>
      <c r="E49" s="8">
        <f t="shared" si="11"/>
        <v>4192462.8796733529</v>
      </c>
      <c r="F49" s="8"/>
      <c r="H49" s="2">
        <v>2006</v>
      </c>
      <c r="I49" s="258">
        <f t="shared" si="14"/>
        <v>-0.18801989551366294</v>
      </c>
      <c r="J49" s="258">
        <f t="shared" si="13"/>
        <v>2.7824930979598244E-2</v>
      </c>
      <c r="K49" s="258">
        <f t="shared" si="13"/>
        <v>-0.17174438012953244</v>
      </c>
    </row>
    <row r="50" spans="2:11" x14ac:dyDescent="0.25">
      <c r="B50" s="2">
        <v>2007</v>
      </c>
      <c r="C50" s="8">
        <f t="shared" si="12"/>
        <v>3363683.9891652688</v>
      </c>
      <c r="D50" s="8">
        <f t="shared" si="10"/>
        <v>594336.65136644884</v>
      </c>
      <c r="E50" s="8">
        <f t="shared" si="11"/>
        <v>4456846.1402447345</v>
      </c>
      <c r="F50" s="8"/>
      <c r="H50" s="2">
        <v>2007</v>
      </c>
      <c r="I50" s="258">
        <f t="shared" si="14"/>
        <v>-0.13504480032203323</v>
      </c>
      <c r="J50" s="258">
        <f t="shared" si="13"/>
        <v>3.0404292177787749E-2</v>
      </c>
      <c r="K50" s="258">
        <f t="shared" si="13"/>
        <v>6.11530117528978E-2</v>
      </c>
    </row>
    <row r="51" spans="2:11" x14ac:dyDescent="0.25">
      <c r="B51" s="2">
        <v>2008</v>
      </c>
      <c r="C51" s="8">
        <f t="shared" si="12"/>
        <v>4194219.1156573482</v>
      </c>
      <c r="D51" s="8">
        <f t="shared" si="10"/>
        <v>610139.07605711627</v>
      </c>
      <c r="E51" s="8">
        <f t="shared" si="11"/>
        <v>5201163.0552416202</v>
      </c>
      <c r="F51" s="8"/>
      <c r="H51" s="2">
        <v>2008</v>
      </c>
      <c r="I51" s="258">
        <f t="shared" si="14"/>
        <v>0.22067037745872556</v>
      </c>
      <c r="J51" s="258">
        <f t="shared" si="13"/>
        <v>2.6241012756127714E-2</v>
      </c>
      <c r="K51" s="258">
        <f t="shared" si="13"/>
        <v>0.15444089260252392</v>
      </c>
    </row>
    <row r="52" spans="2:11" x14ac:dyDescent="0.25">
      <c r="B52" s="2">
        <v>2009</v>
      </c>
      <c r="C52" s="8">
        <f t="shared" si="12"/>
        <v>2691906.3851299845</v>
      </c>
      <c r="D52" s="8">
        <f t="shared" si="10"/>
        <v>621578.75335002842</v>
      </c>
      <c r="E52" s="8">
        <f t="shared" si="11"/>
        <v>3306545.1161215422</v>
      </c>
      <c r="F52" s="8"/>
      <c r="H52" s="2">
        <v>2009</v>
      </c>
      <c r="I52" s="258">
        <f t="shared" si="14"/>
        <v>-0.443457540179303</v>
      </c>
      <c r="J52" s="258">
        <f t="shared" si="13"/>
        <v>1.8575693169909403E-2</v>
      </c>
      <c r="K52" s="258">
        <f t="shared" si="13"/>
        <v>-0.45297839233215798</v>
      </c>
    </row>
    <row r="53" spans="2:11" x14ac:dyDescent="0.25">
      <c r="B53" s="2">
        <v>2010</v>
      </c>
      <c r="C53" s="8">
        <f t="shared" si="12"/>
        <v>2541484.2449316159</v>
      </c>
      <c r="D53" s="8">
        <f t="shared" si="10"/>
        <v>635152.59722271748</v>
      </c>
      <c r="E53" s="8">
        <f t="shared" si="11"/>
        <v>3371583.2922329409</v>
      </c>
      <c r="F53" s="8"/>
      <c r="H53" s="2">
        <v>2010</v>
      </c>
      <c r="I53" s="258">
        <f t="shared" si="14"/>
        <v>-5.7501377202389542E-2</v>
      </c>
      <c r="J53" s="258">
        <f t="shared" si="13"/>
        <v>2.1602662722738291E-2</v>
      </c>
      <c r="K53" s="258">
        <f t="shared" si="13"/>
        <v>1.9478580971666583E-2</v>
      </c>
    </row>
    <row r="54" spans="2:11" x14ac:dyDescent="0.25">
      <c r="B54" s="2">
        <v>2011</v>
      </c>
      <c r="C54" s="8">
        <f t="shared" si="12"/>
        <v>2516409.9108975362</v>
      </c>
      <c r="D54" s="8">
        <f t="shared" si="10"/>
        <v>649774.66954480205</v>
      </c>
      <c r="E54" s="8">
        <f t="shared" si="11"/>
        <v>3107404.8458221494</v>
      </c>
      <c r="F54" s="8"/>
      <c r="H54" s="2">
        <v>2011</v>
      </c>
      <c r="I54" s="258">
        <f t="shared" si="14"/>
        <v>-9.9150115353861569E-3</v>
      </c>
      <c r="J54" s="258">
        <f t="shared" si="13"/>
        <v>2.2760359939988168E-2</v>
      </c>
      <c r="K54" s="258">
        <f t="shared" si="13"/>
        <v>-8.1594530566829401E-2</v>
      </c>
    </row>
    <row r="55" spans="2:11" x14ac:dyDescent="0.25">
      <c r="B55" s="2">
        <v>2012</v>
      </c>
      <c r="C55" s="8">
        <f t="shared" si="12"/>
        <v>1634453.9691945093</v>
      </c>
      <c r="D55" s="8">
        <f t="shared" si="10"/>
        <v>663024.87114836171</v>
      </c>
      <c r="E55" s="8">
        <f t="shared" si="11"/>
        <v>2654717.86236226</v>
      </c>
      <c r="F55" s="8"/>
      <c r="H55" s="2">
        <v>2012</v>
      </c>
      <c r="I55" s="258">
        <f t="shared" si="14"/>
        <v>-0.43152446245280751</v>
      </c>
      <c r="J55" s="258">
        <f t="shared" si="13"/>
        <v>2.0186861976879467E-2</v>
      </c>
      <c r="K55" s="258">
        <f t="shared" si="13"/>
        <v>-0.15744954060344268</v>
      </c>
    </row>
    <row r="56" spans="2:11" x14ac:dyDescent="0.25">
      <c r="B56" s="2">
        <v>2013</v>
      </c>
      <c r="C56" s="8">
        <f>($G18*$I18)/C37</f>
        <v>2456728.4898890927</v>
      </c>
      <c r="D56" s="8">
        <f>($G18*$J18)/D37</f>
        <v>677257.07337459468</v>
      </c>
      <c r="E56" s="8">
        <f>($G18)/E37</f>
        <v>3485902.5365066333</v>
      </c>
      <c r="F56" s="8"/>
      <c r="H56" s="2">
        <v>2013</v>
      </c>
      <c r="I56" s="258">
        <f t="shared" ref="I56:K57" si="15">LN(C56/C55)</f>
        <v>0.40752179793181875</v>
      </c>
      <c r="J56" s="258">
        <f t="shared" si="15"/>
        <v>2.1238422643387527E-2</v>
      </c>
      <c r="K56" s="258">
        <f t="shared" si="15"/>
        <v>0.27238860564341283</v>
      </c>
    </row>
    <row r="57" spans="2:11" x14ac:dyDescent="0.25">
      <c r="B57" s="2">
        <v>2014</v>
      </c>
      <c r="C57" s="8">
        <f>($G19*$I19)/C38</f>
        <v>2704860.5664502303</v>
      </c>
      <c r="D57" s="8">
        <f>($G19*$J19)/D38</f>
        <v>693166.34093570709</v>
      </c>
      <c r="E57" s="8">
        <f>($G19)/E38</f>
        <v>3907909.8292336627</v>
      </c>
      <c r="F57" s="8"/>
      <c r="H57" s="2">
        <v>2014</v>
      </c>
      <c r="I57" s="258">
        <f t="shared" si="15"/>
        <v>9.6219781663766352E-2</v>
      </c>
      <c r="J57" s="258">
        <f t="shared" si="15"/>
        <v>2.3219075427577257E-2</v>
      </c>
      <c r="K57" s="258">
        <f t="shared" si="15"/>
        <v>0.11427567237462835</v>
      </c>
    </row>
    <row r="58" spans="2:11" ht="15" x14ac:dyDescent="0.3">
      <c r="B58" s="2"/>
      <c r="C58" s="6"/>
      <c r="D58" s="7"/>
      <c r="H58" s="87" t="s">
        <v>96</v>
      </c>
      <c r="I58" s="259">
        <f>AVERAGE(I46:I57)</f>
        <v>-1.0368585015539396E-2</v>
      </c>
      <c r="J58" s="259">
        <f>AVERAGE(J46:J57)</f>
        <v>2.4371872972118635E-2</v>
      </c>
      <c r="K58" s="259">
        <f>AVERAGE(K46:K57)</f>
        <v>7.2885160998444913E-3</v>
      </c>
    </row>
    <row r="59" spans="2:11" x14ac:dyDescent="0.25">
      <c r="B59" s="2"/>
      <c r="C59" s="6"/>
      <c r="D59" s="6"/>
      <c r="E59" s="7"/>
    </row>
    <row r="60" spans="2:11" ht="15" x14ac:dyDescent="0.3">
      <c r="B60" s="263" t="s">
        <v>269</v>
      </c>
      <c r="C60" s="262"/>
      <c r="D60" s="262"/>
      <c r="E60" s="262"/>
      <c r="F60" s="262"/>
      <c r="G60" s="262"/>
      <c r="H60" s="262"/>
      <c r="I60" s="262"/>
      <c r="J60" s="262"/>
      <c r="K60" s="262"/>
    </row>
    <row r="61" spans="2:11" ht="15" x14ac:dyDescent="0.3">
      <c r="B61" s="67" t="s">
        <v>11</v>
      </c>
      <c r="C61" s="79"/>
      <c r="D61" s="79"/>
      <c r="E61" s="79"/>
      <c r="F61" s="79"/>
      <c r="G61" s="79"/>
      <c r="H61" s="79"/>
    </row>
    <row r="62" spans="2:11" ht="15" x14ac:dyDescent="0.3">
      <c r="B62" s="67"/>
      <c r="C62" s="68" t="s">
        <v>12</v>
      </c>
      <c r="D62" s="68" t="s">
        <v>12</v>
      </c>
      <c r="E62" s="68" t="s">
        <v>13</v>
      </c>
      <c r="F62" s="68" t="s">
        <v>13</v>
      </c>
      <c r="G62" s="68" t="s">
        <v>14</v>
      </c>
      <c r="H62" s="68" t="s">
        <v>14</v>
      </c>
    </row>
    <row r="63" spans="2:11" ht="15" x14ac:dyDescent="0.25">
      <c r="B63" s="68" t="s">
        <v>4</v>
      </c>
      <c r="C63" s="68" t="s">
        <v>7</v>
      </c>
      <c r="D63" s="68" t="s">
        <v>8</v>
      </c>
      <c r="E63" s="68" t="s">
        <v>7</v>
      </c>
      <c r="F63" s="68" t="s">
        <v>8</v>
      </c>
      <c r="G63" s="68" t="s">
        <v>7</v>
      </c>
      <c r="H63" s="68" t="s">
        <v>8</v>
      </c>
      <c r="K63" s="107"/>
    </row>
    <row r="64" spans="2:11" x14ac:dyDescent="0.25">
      <c r="B64" s="2">
        <v>2002</v>
      </c>
      <c r="C64" s="2"/>
      <c r="D64" s="2"/>
      <c r="E64" s="2"/>
      <c r="F64" s="2"/>
      <c r="G64" s="2"/>
      <c r="H64" s="2"/>
    </row>
    <row r="65" spans="2:11" x14ac:dyDescent="0.25">
      <c r="B65" s="2">
        <v>2003</v>
      </c>
      <c r="C65" s="6">
        <f t="shared" ref="C65:C76" si="16">SUMPRODUCT(C45:D45,C27:D27)/SUMPRODUCT(C45:D45,C26:D26)</f>
        <v>1.0277124227671051</v>
      </c>
      <c r="D65" s="6">
        <f t="shared" ref="D65:D74" si="17">SUMPRODUCT(E45:F45*E27:F27)/SUMPRODUCT(E45:F45*E26:F26)</f>
        <v>1.1029429402289246</v>
      </c>
      <c r="E65" s="6">
        <f t="shared" ref="E65:E74" si="18">SUMPRODUCT(C46:D46,C27:D27)/SUMPRODUCT(C46:D46,C26:D26)</f>
        <v>1.0268445908518833</v>
      </c>
      <c r="F65" s="6">
        <f t="shared" ref="F65:F74" si="19">SUMPRODUCT(E46:F46,E27:F27)/SUMPRODUCT(E46:F46,E26:F26)</f>
        <v>1.1029429402289246</v>
      </c>
      <c r="G65" s="9">
        <f t="shared" ref="G65:H74" si="20">(C65*E65)^0.5</f>
        <v>1.0272784151678092</v>
      </c>
      <c r="H65" s="9">
        <f t="shared" si="20"/>
        <v>1.1029429402289246</v>
      </c>
    </row>
    <row r="66" spans="2:11" x14ac:dyDescent="0.25">
      <c r="B66" s="2">
        <v>2004</v>
      </c>
      <c r="C66" s="6">
        <f t="shared" si="16"/>
        <v>1.0064872543398053</v>
      </c>
      <c r="D66" s="6">
        <f t="shared" si="17"/>
        <v>0.96377463580825595</v>
      </c>
      <c r="E66" s="6">
        <f t="shared" si="18"/>
        <v>1.0068234315778684</v>
      </c>
      <c r="F66" s="6">
        <f t="shared" si="19"/>
        <v>0.96377463580825595</v>
      </c>
      <c r="G66" s="9">
        <f t="shared" si="20"/>
        <v>1.0066553289253426</v>
      </c>
      <c r="H66" s="9">
        <f t="shared" si="20"/>
        <v>0.96377463580825595</v>
      </c>
    </row>
    <row r="67" spans="2:11" x14ac:dyDescent="0.25">
      <c r="B67" s="2">
        <v>2005</v>
      </c>
      <c r="C67" s="6">
        <f t="shared" si="16"/>
        <v>1.0007955198385474</v>
      </c>
      <c r="D67" s="6">
        <f t="shared" si="17"/>
        <v>1.0165793239657936</v>
      </c>
      <c r="E67" s="6">
        <f t="shared" si="18"/>
        <v>1.0005547819482246</v>
      </c>
      <c r="F67" s="6">
        <f t="shared" si="19"/>
        <v>1.0165793239657936</v>
      </c>
      <c r="G67" s="9">
        <f t="shared" si="20"/>
        <v>1.0006751436539323</v>
      </c>
      <c r="H67" s="9">
        <f t="shared" si="20"/>
        <v>1.0165793239657936</v>
      </c>
    </row>
    <row r="68" spans="2:11" x14ac:dyDescent="0.25">
      <c r="B68" s="2">
        <v>2006</v>
      </c>
      <c r="C68" s="6">
        <f t="shared" si="16"/>
        <v>1.0058173919703546</v>
      </c>
      <c r="D68" s="6">
        <f t="shared" si="17"/>
        <v>1.0180522318176941</v>
      </c>
      <c r="E68" s="6">
        <f t="shared" si="18"/>
        <v>1.0065964702045054</v>
      </c>
      <c r="F68" s="6">
        <f t="shared" si="19"/>
        <v>1.0180522318176939</v>
      </c>
      <c r="G68" s="9">
        <f t="shared" si="20"/>
        <v>1.0062068556850825</v>
      </c>
      <c r="H68" s="9">
        <f t="shared" si="20"/>
        <v>1.0180522318176939</v>
      </c>
    </row>
    <row r="69" spans="2:11" x14ac:dyDescent="0.25">
      <c r="B69" s="2">
        <v>2007</v>
      </c>
      <c r="C69" s="6">
        <f t="shared" si="16"/>
        <v>0.9892743989817262</v>
      </c>
      <c r="D69" s="6">
        <f t="shared" si="17"/>
        <v>0.83546664999108411</v>
      </c>
      <c r="E69" s="6">
        <f t="shared" si="18"/>
        <v>0.99088537466002913</v>
      </c>
      <c r="F69" s="6">
        <f t="shared" si="19"/>
        <v>0.83546664999108411</v>
      </c>
      <c r="G69" s="9">
        <f t="shared" si="20"/>
        <v>0.99007955916511226</v>
      </c>
      <c r="H69" s="9">
        <f t="shared" si="20"/>
        <v>0.83546664999108411</v>
      </c>
    </row>
    <row r="70" spans="2:11" x14ac:dyDescent="0.25">
      <c r="B70" s="2">
        <v>2008</v>
      </c>
      <c r="C70" s="6">
        <f t="shared" si="16"/>
        <v>1.0185510646775395</v>
      </c>
      <c r="D70" s="6">
        <f t="shared" si="17"/>
        <v>1.0532012504685762</v>
      </c>
      <c r="E70" s="6">
        <f t="shared" si="18"/>
        <v>1.0173601363918794</v>
      </c>
      <c r="F70" s="6">
        <f t="shared" si="19"/>
        <v>1.0532012504685762</v>
      </c>
      <c r="G70" s="9">
        <f t="shared" si="20"/>
        <v>1.0179554263730979</v>
      </c>
      <c r="H70" s="9">
        <f t="shared" si="20"/>
        <v>1.0532012504685762</v>
      </c>
    </row>
    <row r="71" spans="2:11" x14ac:dyDescent="0.25">
      <c r="B71" s="2">
        <v>2009</v>
      </c>
      <c r="C71" s="6">
        <f t="shared" si="16"/>
        <v>0.99861763880061105</v>
      </c>
      <c r="D71" s="6">
        <f t="shared" si="17"/>
        <v>1.0985411176660871</v>
      </c>
      <c r="E71" s="6">
        <f t="shared" si="18"/>
        <v>0.9972084680887221</v>
      </c>
      <c r="F71" s="6">
        <f t="shared" si="19"/>
        <v>1.0985411176660871</v>
      </c>
      <c r="G71" s="9">
        <f t="shared" si="20"/>
        <v>0.99791280470526789</v>
      </c>
      <c r="H71" s="9">
        <f t="shared" si="20"/>
        <v>1.0985411176660871</v>
      </c>
    </row>
    <row r="72" spans="2:11" x14ac:dyDescent="0.25">
      <c r="B72" s="2">
        <v>2010</v>
      </c>
      <c r="C72" s="6">
        <f t="shared" si="16"/>
        <v>1.0116669346043987</v>
      </c>
      <c r="D72" s="6">
        <f t="shared" si="17"/>
        <v>0.95453746848465648</v>
      </c>
      <c r="E72" s="6">
        <f t="shared" si="18"/>
        <v>1.0123911719976093</v>
      </c>
      <c r="F72" s="6">
        <f t="shared" si="19"/>
        <v>0.95453746848465648</v>
      </c>
      <c r="G72" s="9">
        <f t="shared" si="20"/>
        <v>1.0120289885153368</v>
      </c>
      <c r="H72" s="9">
        <f t="shared" si="20"/>
        <v>0.95453746848465648</v>
      </c>
    </row>
    <row r="73" spans="2:11" x14ac:dyDescent="0.25">
      <c r="B73" s="2">
        <v>2011</v>
      </c>
      <c r="C73" s="6">
        <f t="shared" si="16"/>
        <v>0.97765279564220497</v>
      </c>
      <c r="D73" s="6">
        <f t="shared" si="17"/>
        <v>1.0585974992675227</v>
      </c>
      <c r="E73" s="6">
        <f t="shared" si="18"/>
        <v>0.97740177831101271</v>
      </c>
      <c r="F73" s="6">
        <f t="shared" si="19"/>
        <v>1.0585974992675227</v>
      </c>
      <c r="G73" s="9">
        <f t="shared" si="20"/>
        <v>0.97752727891932722</v>
      </c>
      <c r="H73" s="9">
        <f t="shared" si="20"/>
        <v>1.0585974992675227</v>
      </c>
    </row>
    <row r="74" spans="2:11" x14ac:dyDescent="0.25">
      <c r="B74" s="2">
        <v>2012</v>
      </c>
      <c r="C74" s="6">
        <f t="shared" si="16"/>
        <v>1.000853816246478</v>
      </c>
      <c r="D74" s="6">
        <f t="shared" si="17"/>
        <v>0.8660538494924962</v>
      </c>
      <c r="E74" s="6">
        <f t="shared" si="18"/>
        <v>0.99996780183385148</v>
      </c>
      <c r="F74" s="6">
        <f t="shared" si="19"/>
        <v>0.86605384949249631</v>
      </c>
      <c r="G74" s="9">
        <f t="shared" si="20"/>
        <v>1.0004107109527627</v>
      </c>
      <c r="H74" s="9">
        <f t="shared" si="20"/>
        <v>0.86605384949249631</v>
      </c>
    </row>
    <row r="75" spans="2:11" x14ac:dyDescent="0.25">
      <c r="B75" s="2">
        <v>2013</v>
      </c>
      <c r="C75" s="6">
        <f t="shared" si="16"/>
        <v>1.0031121133408789</v>
      </c>
      <c r="D75" s="6">
        <f>SUMPRODUCT(E55:F55*E37:F37)/SUMPRODUCT(E55:F55*E36:F36)</f>
        <v>1.0258788693386665</v>
      </c>
      <c r="E75" s="6">
        <f>SUMPRODUCT(C56:D56,C37:D37)/SUMPRODUCT(C56:D56,C36:D36)</f>
        <v>1.0036081348387136</v>
      </c>
      <c r="F75" s="6">
        <f>SUMPRODUCT(E56:F56,E37:F37)/SUMPRODUCT(E56:F56,E36:F36)</f>
        <v>1.0258788693386665</v>
      </c>
      <c r="G75" s="9">
        <f>(C75*E75)^0.5</f>
        <v>1.0033600934381235</v>
      </c>
      <c r="H75" s="9">
        <f>(D75*F75)^0.5</f>
        <v>1.0258788693386665</v>
      </c>
    </row>
    <row r="76" spans="2:11" x14ac:dyDescent="0.25">
      <c r="B76" s="2">
        <v>2014</v>
      </c>
      <c r="C76" s="6">
        <f t="shared" si="16"/>
        <v>1.0060519796824934</v>
      </c>
      <c r="D76" s="6">
        <f>SUMPRODUCT(E56:F56*E38:F38)/SUMPRODUCT(E56:F56*E37:F37)</f>
        <v>0.97048457039432978</v>
      </c>
      <c r="E76" s="6">
        <f>SUMPRODUCT(C57:D57,C38:D38)/SUMPRODUCT(C57:D57,C37:D37)</f>
        <v>1.0060856164035354</v>
      </c>
      <c r="F76" s="6">
        <f>SUMPRODUCT(E57:F57,E38:F38)/SUMPRODUCT(E57:F57,E37:F37)</f>
        <v>0.97048457039432989</v>
      </c>
      <c r="G76" s="9">
        <f>(C76*E76)^0.5</f>
        <v>1.006068797902439</v>
      </c>
      <c r="H76" s="9">
        <f>(D76*F76)^0.5</f>
        <v>0.97048457039432989</v>
      </c>
    </row>
    <row r="78" spans="2:11" ht="15.75" thickBot="1" x14ac:dyDescent="0.35">
      <c r="B78" s="261" t="s">
        <v>268</v>
      </c>
      <c r="C78" s="260"/>
      <c r="D78" s="260"/>
      <c r="E78" s="260"/>
      <c r="F78" s="260"/>
      <c r="G78" s="260"/>
      <c r="H78" s="260"/>
      <c r="I78" s="260"/>
      <c r="J78" s="260"/>
      <c r="K78" s="260"/>
    </row>
    <row r="79" spans="2:11" ht="15" x14ac:dyDescent="0.3">
      <c r="B79" s="67" t="s">
        <v>15</v>
      </c>
      <c r="C79" s="79"/>
      <c r="D79" s="79"/>
      <c r="E79" s="79"/>
      <c r="F79" s="79"/>
      <c r="G79" s="88"/>
      <c r="H79" s="89"/>
      <c r="I79" s="89"/>
      <c r="J79" s="90"/>
    </row>
    <row r="80" spans="2:11" ht="15" x14ac:dyDescent="0.3">
      <c r="B80" s="67"/>
      <c r="C80" s="68" t="s">
        <v>12</v>
      </c>
      <c r="D80" s="68" t="s">
        <v>12</v>
      </c>
      <c r="E80" s="68" t="s">
        <v>13</v>
      </c>
      <c r="F80" s="68" t="s">
        <v>13</v>
      </c>
      <c r="G80" s="91" t="s">
        <v>14</v>
      </c>
      <c r="H80" s="83" t="s">
        <v>14</v>
      </c>
      <c r="I80" s="83" t="s">
        <v>16</v>
      </c>
      <c r="J80" s="92" t="s">
        <v>16</v>
      </c>
    </row>
    <row r="81" spans="2:17" ht="15" x14ac:dyDescent="0.25">
      <c r="B81" s="68" t="s">
        <v>4</v>
      </c>
      <c r="C81" s="68" t="s">
        <v>7</v>
      </c>
      <c r="D81" s="68" t="s">
        <v>8</v>
      </c>
      <c r="E81" s="68" t="s">
        <v>7</v>
      </c>
      <c r="F81" s="68" t="s">
        <v>8</v>
      </c>
      <c r="G81" s="91" t="s">
        <v>7</v>
      </c>
      <c r="H81" s="83" t="s">
        <v>8</v>
      </c>
      <c r="I81" s="83" t="s">
        <v>15</v>
      </c>
      <c r="J81" s="92" t="s">
        <v>17</v>
      </c>
    </row>
    <row r="82" spans="2:17" x14ac:dyDescent="0.25">
      <c r="B82" s="2">
        <v>2002</v>
      </c>
      <c r="C82" s="6">
        <v>1</v>
      </c>
      <c r="D82" s="6">
        <v>1</v>
      </c>
      <c r="E82" s="6">
        <v>1</v>
      </c>
      <c r="F82" s="6">
        <v>1</v>
      </c>
      <c r="G82" s="10">
        <v>1</v>
      </c>
      <c r="H82" s="11">
        <v>1</v>
      </c>
      <c r="I82" s="11">
        <f>H82/G82</f>
        <v>1</v>
      </c>
      <c r="J82" s="266"/>
    </row>
    <row r="83" spans="2:17" x14ac:dyDescent="0.25">
      <c r="B83" s="2">
        <v>2003</v>
      </c>
      <c r="C83" s="6">
        <f t="shared" ref="C83:C92" si="21">C82*C65</f>
        <v>1.0277124227671051</v>
      </c>
      <c r="D83" s="6">
        <f t="shared" ref="D83:D92" si="22">D82*D65</f>
        <v>1.1029429402289246</v>
      </c>
      <c r="E83" s="6">
        <f t="shared" ref="E83:E92" si="23">E82*E65</f>
        <v>1.0268445908518833</v>
      </c>
      <c r="F83" s="6">
        <f t="shared" ref="F83:F92" si="24">F82*F65</f>
        <v>1.1029429402289246</v>
      </c>
      <c r="G83" s="10">
        <f t="shared" ref="G83:G92" si="25">G82*G65</f>
        <v>1.0272784151678092</v>
      </c>
      <c r="H83" s="11">
        <f t="shared" ref="H83:H92" si="26">H82*H65</f>
        <v>1.1029429402289246</v>
      </c>
      <c r="I83" s="11">
        <f>H83/G83</f>
        <v>1.0736553245390204</v>
      </c>
      <c r="J83" s="267">
        <f>LN(I83/I82)</f>
        <v>7.1069017706203191E-2</v>
      </c>
    </row>
    <row r="84" spans="2:17" x14ac:dyDescent="0.25">
      <c r="B84" s="2">
        <v>2004</v>
      </c>
      <c r="C84" s="6">
        <f t="shared" si="21"/>
        <v>1.0343794546417728</v>
      </c>
      <c r="D84" s="6">
        <f t="shared" si="22"/>
        <v>1.0629884305364188</v>
      </c>
      <c r="E84" s="6">
        <f t="shared" si="23"/>
        <v>1.0338511946586653</v>
      </c>
      <c r="F84" s="6">
        <f t="shared" si="24"/>
        <v>1.0629884305364188</v>
      </c>
      <c r="G84" s="10">
        <f t="shared" si="25"/>
        <v>1.0341152909186555</v>
      </c>
      <c r="H84" s="11">
        <f t="shared" si="26"/>
        <v>1.0629884305364188</v>
      </c>
      <c r="I84" s="11">
        <f t="shared" ref="I84:I92" si="27">H84/G84</f>
        <v>1.0279206195588828</v>
      </c>
      <c r="J84" s="267">
        <f t="shared" ref="J84:J92" si="28">LN(I84/I83)</f>
        <v>-4.3531071982653456E-2</v>
      </c>
    </row>
    <row r="85" spans="2:17" x14ac:dyDescent="0.25">
      <c r="B85" s="2">
        <v>2005</v>
      </c>
      <c r="C85" s="6">
        <f t="shared" si="21"/>
        <v>1.0352023240185262</v>
      </c>
      <c r="D85" s="6">
        <f t="shared" si="22"/>
        <v>1.0806120600981726</v>
      </c>
      <c r="E85" s="6">
        <f t="shared" si="23"/>
        <v>1.0344247566386122</v>
      </c>
      <c r="F85" s="6">
        <f t="shared" si="24"/>
        <v>1.0806120600981726</v>
      </c>
      <c r="G85" s="10">
        <f t="shared" si="25"/>
        <v>1.0348134672947535</v>
      </c>
      <c r="H85" s="11">
        <f t="shared" si="26"/>
        <v>1.0806120600981726</v>
      </c>
      <c r="I85" s="11">
        <f t="shared" si="27"/>
        <v>1.0442578244784031</v>
      </c>
      <c r="J85" s="267">
        <f t="shared" si="28"/>
        <v>1.5768471560359369E-2</v>
      </c>
    </row>
    <row r="86" spans="2:17" x14ac:dyDescent="0.25">
      <c r="B86" s="2">
        <v>2006</v>
      </c>
      <c r="C86" s="6">
        <f t="shared" si="21"/>
        <v>1.041224501705964</v>
      </c>
      <c r="D86" s="6">
        <f t="shared" si="22"/>
        <v>1.1001195195120608</v>
      </c>
      <c r="E86" s="6">
        <f t="shared" si="23"/>
        <v>1.0412483087245816</v>
      </c>
      <c r="F86" s="6">
        <f t="shared" si="24"/>
        <v>1.1001195195120606</v>
      </c>
      <c r="G86" s="10">
        <f t="shared" si="25"/>
        <v>1.0412364051472318</v>
      </c>
      <c r="H86" s="11">
        <f t="shared" si="26"/>
        <v>1.1001195195120606</v>
      </c>
      <c r="I86" s="11">
        <f t="shared" si="27"/>
        <v>1.0565511483019099</v>
      </c>
      <c r="J86" s="267">
        <f t="shared" si="28"/>
        <v>1.1703552587347892E-2</v>
      </c>
    </row>
    <row r="87" spans="2:17" x14ac:dyDescent="0.25">
      <c r="B87" s="2">
        <v>2007</v>
      </c>
      <c r="C87" s="6">
        <f t="shared" si="21"/>
        <v>1.030056743130215</v>
      </c>
      <c r="D87" s="6">
        <f t="shared" si="22"/>
        <v>0.91911316955654254</v>
      </c>
      <c r="E87" s="6">
        <f t="shared" si="23"/>
        <v>1.0317577205046788</v>
      </c>
      <c r="F87" s="6">
        <f t="shared" si="24"/>
        <v>0.91911316955654232</v>
      </c>
      <c r="G87" s="10">
        <f t="shared" si="25"/>
        <v>1.0309068809948374</v>
      </c>
      <c r="H87" s="11">
        <f t="shared" si="26"/>
        <v>0.91911316955654232</v>
      </c>
      <c r="I87" s="11">
        <f t="shared" si="27"/>
        <v>0.89155789577191213</v>
      </c>
      <c r="J87" s="267">
        <f t="shared" si="28"/>
        <v>-0.1697948716824923</v>
      </c>
    </row>
    <row r="88" spans="2:17" x14ac:dyDescent="0.25">
      <c r="B88" s="2">
        <v>2008</v>
      </c>
      <c r="C88" s="6">
        <f t="shared" si="21"/>
        <v>1.0491653923935593</v>
      </c>
      <c r="D88" s="6">
        <f t="shared" si="22"/>
        <v>0.96801113949908701</v>
      </c>
      <c r="E88" s="6">
        <f t="shared" si="23"/>
        <v>1.0496691752560146</v>
      </c>
      <c r="F88" s="6">
        <f t="shared" si="24"/>
        <v>0.96801113949908679</v>
      </c>
      <c r="G88" s="10">
        <f t="shared" si="25"/>
        <v>1.0494172535940602</v>
      </c>
      <c r="H88" s="11">
        <f t="shared" si="26"/>
        <v>0.96801113949908679</v>
      </c>
      <c r="I88" s="11">
        <f t="shared" si="27"/>
        <v>0.92242731495392083</v>
      </c>
      <c r="J88" s="267">
        <f t="shared" si="28"/>
        <v>3.4038204261713147E-2</v>
      </c>
    </row>
    <row r="89" spans="2:17" x14ac:dyDescent="0.25">
      <c r="B89" s="2">
        <v>2009</v>
      </c>
      <c r="C89" s="6">
        <f t="shared" si="21"/>
        <v>1.0477150668633728</v>
      </c>
      <c r="D89" s="6">
        <f t="shared" si="22"/>
        <v>1.0634000390985496</v>
      </c>
      <c r="E89" s="6">
        <f t="shared" si="23"/>
        <v>1.0467389902570026</v>
      </c>
      <c r="F89" s="6">
        <f t="shared" si="24"/>
        <v>1.0634000390985494</v>
      </c>
      <c r="G89" s="10">
        <f t="shared" si="25"/>
        <v>1.0472269148401481</v>
      </c>
      <c r="H89" s="11">
        <f t="shared" si="26"/>
        <v>1.0634000390985494</v>
      </c>
      <c r="I89" s="11">
        <f t="shared" si="27"/>
        <v>1.0154437629793636</v>
      </c>
      <c r="J89" s="267">
        <f t="shared" si="28"/>
        <v>9.6072419402832634E-2</v>
      </c>
    </row>
    <row r="90" spans="2:17" x14ac:dyDescent="0.25">
      <c r="B90" s="2">
        <v>2010</v>
      </c>
      <c r="C90" s="6">
        <f t="shared" si="21"/>
        <v>1.059938690032511</v>
      </c>
      <c r="D90" s="6">
        <f t="shared" si="22"/>
        <v>1.0150551813076143</v>
      </c>
      <c r="E90" s="6">
        <f t="shared" si="23"/>
        <v>1.0597093131218809</v>
      </c>
      <c r="F90" s="6">
        <f t="shared" si="24"/>
        <v>1.0150551813076141</v>
      </c>
      <c r="G90" s="10">
        <f t="shared" si="25"/>
        <v>1.0598239953717119</v>
      </c>
      <c r="H90" s="11">
        <f t="shared" si="26"/>
        <v>1.0150551813076141</v>
      </c>
      <c r="I90" s="11">
        <f t="shared" si="27"/>
        <v>0.95775825584285246</v>
      </c>
      <c r="J90" s="267">
        <f>LN(I90/I89)</f>
        <v>-5.8485597252319325E-2</v>
      </c>
    </row>
    <row r="91" spans="2:17" x14ac:dyDescent="0.25">
      <c r="B91" s="2">
        <v>2011</v>
      </c>
      <c r="C91" s="6">
        <f t="shared" si="21"/>
        <v>1.0362520235196209</v>
      </c>
      <c r="D91" s="6">
        <f t="shared" si="22"/>
        <v>1.0745348765507823</v>
      </c>
      <c r="E91" s="6">
        <f t="shared" si="23"/>
        <v>1.0357617671380681</v>
      </c>
      <c r="F91" s="6">
        <f t="shared" si="24"/>
        <v>1.0745348765507821</v>
      </c>
      <c r="G91" s="10">
        <f t="shared" si="25"/>
        <v>1.0360068663291191</v>
      </c>
      <c r="H91" s="11">
        <f t="shared" si="26"/>
        <v>1.0745348765507821</v>
      </c>
      <c r="I91" s="11">
        <f t="shared" si="27"/>
        <v>1.0371889525772924</v>
      </c>
      <c r="J91" s="267">
        <f t="shared" si="28"/>
        <v>7.9673998826519599E-2</v>
      </c>
    </row>
    <row r="92" spans="2:17" x14ac:dyDescent="0.25">
      <c r="B92" s="353">
        <v>2012</v>
      </c>
      <c r="C92" s="11">
        <f t="shared" si="21"/>
        <v>1.0371367923327475</v>
      </c>
      <c r="D92" s="11">
        <f t="shared" si="22"/>
        <v>0.93060506625074912</v>
      </c>
      <c r="E92" s="11">
        <f t="shared" si="23"/>
        <v>1.0357284175085995</v>
      </c>
      <c r="F92" s="11">
        <f t="shared" si="24"/>
        <v>0.93060506625074912</v>
      </c>
      <c r="G92" s="10">
        <f t="shared" si="25"/>
        <v>1.0364323656962577</v>
      </c>
      <c r="H92" s="11">
        <f t="shared" si="26"/>
        <v>0.93060506625074912</v>
      </c>
      <c r="I92" s="11">
        <f t="shared" si="27"/>
        <v>0.89789271065998055</v>
      </c>
      <c r="J92" s="267">
        <f t="shared" si="28"/>
        <v>-0.14421881712501425</v>
      </c>
    </row>
    <row r="93" spans="2:17" x14ac:dyDescent="0.25">
      <c r="B93" s="353">
        <v>2013</v>
      </c>
      <c r="C93" s="11">
        <f t="shared" ref="C93:H93" si="29">C92*C75</f>
        <v>1.0403644795804825</v>
      </c>
      <c r="D93" s="11">
        <f t="shared" si="29"/>
        <v>0.95468807316615334</v>
      </c>
      <c r="E93" s="11">
        <f t="shared" si="29"/>
        <v>1.039465465295258</v>
      </c>
      <c r="F93" s="11">
        <f t="shared" si="29"/>
        <v>0.95468807316615334</v>
      </c>
      <c r="G93" s="10">
        <f t="shared" si="29"/>
        <v>1.0399148752872927</v>
      </c>
      <c r="H93" s="11">
        <f t="shared" si="29"/>
        <v>0.95468807316615334</v>
      </c>
      <c r="I93" s="11">
        <f>H93/G93</f>
        <v>0.91804444368814897</v>
      </c>
      <c r="J93" s="267">
        <f>LN(I93/I92)</f>
        <v>2.2195217767604056E-2</v>
      </c>
      <c r="L93" s="405"/>
      <c r="N93" s="146"/>
    </row>
    <row r="94" spans="2:17" ht="14.25" thickBot="1" x14ac:dyDescent="0.3">
      <c r="B94" s="353">
        <v>2014</v>
      </c>
      <c r="C94" s="11">
        <f t="shared" ref="C94:H94" si="30">C93*C76</f>
        <v>1.0466607442732914</v>
      </c>
      <c r="D94" s="11">
        <f t="shared" si="30"/>
        <v>0.92651004454724484</v>
      </c>
      <c r="E94" s="11">
        <f t="shared" si="30"/>
        <v>1.0457912533817675</v>
      </c>
      <c r="F94" s="11">
        <f t="shared" si="30"/>
        <v>0.92651004454724495</v>
      </c>
      <c r="G94" s="12">
        <f t="shared" si="30"/>
        <v>1.0462259085011512</v>
      </c>
      <c r="H94" s="13">
        <f t="shared" si="30"/>
        <v>0.92651004454724495</v>
      </c>
      <c r="I94" s="13">
        <f>H94/G94</f>
        <v>0.88557360032747223</v>
      </c>
      <c r="J94" s="268">
        <f>LN(I94/I93)</f>
        <v>-3.601023203046403E-2</v>
      </c>
    </row>
    <row r="95" spans="2:17" x14ac:dyDescent="0.25">
      <c r="K95" s="147"/>
      <c r="L95" s="146"/>
      <c r="M95" s="146"/>
      <c r="N95" s="146"/>
      <c r="O95" s="146"/>
      <c r="P95" s="146"/>
      <c r="Q95" s="146"/>
    </row>
    <row r="96" spans="2:17" s="356" customFormat="1" ht="15.75" thickBot="1" x14ac:dyDescent="0.35">
      <c r="B96" s="265" t="s">
        <v>272</v>
      </c>
      <c r="C96" s="264"/>
      <c r="D96" s="264"/>
      <c r="E96" s="264"/>
      <c r="F96" s="264"/>
      <c r="G96" s="264"/>
      <c r="H96" s="264"/>
      <c r="I96" s="264"/>
      <c r="J96" s="264"/>
      <c r="K96" s="400"/>
      <c r="L96" s="406"/>
      <c r="M96" s="406"/>
      <c r="N96" s="406"/>
      <c r="O96" s="406"/>
      <c r="P96" s="406"/>
      <c r="Q96" s="406"/>
    </row>
    <row r="97" spans="2:19" ht="15" x14ac:dyDescent="0.3">
      <c r="B97" s="270" t="s">
        <v>270</v>
      </c>
      <c r="C97" s="271"/>
      <c r="D97" s="271"/>
      <c r="E97" s="271"/>
      <c r="F97" s="271"/>
      <c r="G97" s="271"/>
      <c r="H97" s="271"/>
      <c r="I97" s="272"/>
      <c r="R97" s="355"/>
      <c r="S97" s="355"/>
    </row>
    <row r="98" spans="2:19" ht="15.75" customHeight="1" x14ac:dyDescent="0.3">
      <c r="B98" s="273"/>
      <c r="C98" s="83" t="s">
        <v>12</v>
      </c>
      <c r="D98" s="83" t="s">
        <v>12</v>
      </c>
      <c r="E98" s="83" t="s">
        <v>13</v>
      </c>
      <c r="F98" s="83" t="s">
        <v>13</v>
      </c>
      <c r="G98" s="91" t="s">
        <v>14</v>
      </c>
      <c r="H98" s="83" t="s">
        <v>14</v>
      </c>
      <c r="I98" s="92" t="s">
        <v>92</v>
      </c>
    </row>
    <row r="99" spans="2:19" ht="15" x14ac:dyDescent="0.25">
      <c r="B99" s="91" t="s">
        <v>4</v>
      </c>
      <c r="C99" s="83" t="s">
        <v>7</v>
      </c>
      <c r="D99" s="83" t="s">
        <v>8</v>
      </c>
      <c r="E99" s="83" t="s">
        <v>7</v>
      </c>
      <c r="F99" s="83" t="s">
        <v>8</v>
      </c>
      <c r="G99" s="91" t="s">
        <v>220</v>
      </c>
      <c r="H99" s="83" t="s">
        <v>221</v>
      </c>
      <c r="I99" s="92" t="s">
        <v>222</v>
      </c>
    </row>
    <row r="100" spans="2:19" x14ac:dyDescent="0.25">
      <c r="B100" s="274" t="s">
        <v>232</v>
      </c>
      <c r="C100" s="258">
        <f t="shared" ref="C100:I109" si="31">LN(C83/C82)</f>
        <v>2.7335383507237038E-2</v>
      </c>
      <c r="D100" s="258">
        <f t="shared" si="31"/>
        <v>9.798200749981674E-2</v>
      </c>
      <c r="E100" s="258">
        <f t="shared" si="31"/>
        <v>2.6490596079990165E-2</v>
      </c>
      <c r="F100" s="258">
        <f t="shared" si="31"/>
        <v>9.798200749981674E-2</v>
      </c>
      <c r="G100" s="258">
        <f t="shared" si="31"/>
        <v>2.691298979361359E-2</v>
      </c>
      <c r="H100" s="258">
        <f t="shared" si="31"/>
        <v>9.798200749981674E-2</v>
      </c>
      <c r="I100" s="267">
        <f t="shared" si="31"/>
        <v>7.1069017706203191E-2</v>
      </c>
    </row>
    <row r="101" spans="2:19" x14ac:dyDescent="0.25">
      <c r="B101" s="274" t="s">
        <v>233</v>
      </c>
      <c r="C101" s="258">
        <f t="shared" si="31"/>
        <v>6.4663026690983914E-3</v>
      </c>
      <c r="D101" s="258">
        <f t="shared" si="31"/>
        <v>-3.6897791984353397E-2</v>
      </c>
      <c r="E101" s="258">
        <f t="shared" si="31"/>
        <v>6.800257327501392E-3</v>
      </c>
      <c r="F101" s="258">
        <f t="shared" si="31"/>
        <v>-3.6897791984353397E-2</v>
      </c>
      <c r="G101" s="258">
        <f t="shared" si="31"/>
        <v>6.6332799982999407E-3</v>
      </c>
      <c r="H101" s="258">
        <f t="shared" si="31"/>
        <v>-3.6897791984353397E-2</v>
      </c>
      <c r="I101" s="267">
        <f t="shared" si="31"/>
        <v>-4.3531071982653456E-2</v>
      </c>
    </row>
    <row r="102" spans="2:19" ht="15" x14ac:dyDescent="0.3">
      <c r="B102" s="274" t="s">
        <v>234</v>
      </c>
      <c r="C102" s="258">
        <f t="shared" si="31"/>
        <v>7.9520358035598839E-4</v>
      </c>
      <c r="D102" s="258">
        <f t="shared" si="31"/>
        <v>1.6443387407344107E-2</v>
      </c>
      <c r="E102" s="258">
        <f t="shared" si="31"/>
        <v>5.546281136133346E-4</v>
      </c>
      <c r="F102" s="258">
        <f t="shared" si="31"/>
        <v>1.6443387407344107E-2</v>
      </c>
      <c r="G102" s="258">
        <f t="shared" si="31"/>
        <v>6.7491584698474037E-4</v>
      </c>
      <c r="H102" s="258">
        <f t="shared" si="31"/>
        <v>1.6443387407344107E-2</v>
      </c>
      <c r="I102" s="267">
        <f t="shared" si="31"/>
        <v>1.5768471560359369E-2</v>
      </c>
      <c r="R102" s="359"/>
      <c r="S102" s="358"/>
    </row>
    <row r="103" spans="2:19" x14ac:dyDescent="0.25">
      <c r="B103" s="274" t="s">
        <v>235</v>
      </c>
      <c r="C103" s="258">
        <f t="shared" si="31"/>
        <v>5.8005362848465736E-3</v>
      </c>
      <c r="D103" s="258">
        <f t="shared" si="31"/>
        <v>1.7891225080961519E-2</v>
      </c>
      <c r="E103" s="258">
        <f t="shared" si="31"/>
        <v>6.5748087023801494E-3</v>
      </c>
      <c r="F103" s="258">
        <f t="shared" si="31"/>
        <v>1.78912250809613E-2</v>
      </c>
      <c r="G103" s="258">
        <f t="shared" si="31"/>
        <v>6.1876724936134175E-3</v>
      </c>
      <c r="H103" s="258">
        <f t="shared" si="31"/>
        <v>1.78912250809613E-2</v>
      </c>
      <c r="I103" s="267">
        <f t="shared" si="31"/>
        <v>1.1703552587347892E-2</v>
      </c>
      <c r="R103" s="360"/>
      <c r="S103" s="358"/>
    </row>
    <row r="104" spans="2:19" x14ac:dyDescent="0.25">
      <c r="B104" s="274" t="s">
        <v>236</v>
      </c>
      <c r="C104" s="258">
        <f t="shared" si="31"/>
        <v>-1.0783534899730458E-2</v>
      </c>
      <c r="D104" s="258">
        <f t="shared" si="31"/>
        <v>-0.17976484797186745</v>
      </c>
      <c r="E104" s="258">
        <f t="shared" si="31"/>
        <v>-9.1564176790194813E-3</v>
      </c>
      <c r="F104" s="258">
        <f t="shared" si="31"/>
        <v>-0.17976484797186745</v>
      </c>
      <c r="G104" s="258">
        <f t="shared" si="31"/>
        <v>-9.9699762893751352E-3</v>
      </c>
      <c r="H104" s="258">
        <f t="shared" si="31"/>
        <v>-0.17976484797186745</v>
      </c>
      <c r="I104" s="267">
        <f t="shared" si="31"/>
        <v>-0.1697948716824923</v>
      </c>
      <c r="R104" s="360"/>
      <c r="S104" s="358"/>
    </row>
    <row r="105" spans="2:19" x14ac:dyDescent="0.25">
      <c r="B105" s="274" t="s">
        <v>237</v>
      </c>
      <c r="C105" s="258">
        <f t="shared" si="31"/>
        <v>1.8381092568340404E-2</v>
      </c>
      <c r="D105" s="258">
        <f t="shared" si="31"/>
        <v>5.1834335943315629E-2</v>
      </c>
      <c r="E105" s="258">
        <f t="shared" si="31"/>
        <v>1.7211170794864679E-2</v>
      </c>
      <c r="F105" s="258">
        <f t="shared" si="31"/>
        <v>5.1834335943315629E-2</v>
      </c>
      <c r="G105" s="258">
        <f t="shared" si="31"/>
        <v>1.7796131681602503E-2</v>
      </c>
      <c r="H105" s="258">
        <f t="shared" si="31"/>
        <v>5.1834335943315629E-2</v>
      </c>
      <c r="I105" s="267">
        <f t="shared" si="31"/>
        <v>3.4038204261713147E-2</v>
      </c>
      <c r="R105" s="360"/>
      <c r="S105" s="358"/>
    </row>
    <row r="106" spans="2:19" x14ac:dyDescent="0.25">
      <c r="B106" s="274" t="s">
        <v>238</v>
      </c>
      <c r="C106" s="258">
        <f t="shared" si="31"/>
        <v>-1.3833175420740198E-3</v>
      </c>
      <c r="D106" s="258">
        <f t="shared" si="31"/>
        <v>9.3983042880373985E-2</v>
      </c>
      <c r="E106" s="258">
        <f t="shared" si="31"/>
        <v>-2.7954355028432846E-3</v>
      </c>
      <c r="F106" s="258">
        <f t="shared" si="31"/>
        <v>9.3983042880373985E-2</v>
      </c>
      <c r="G106" s="258">
        <f t="shared" si="31"/>
        <v>-2.0893765224586133E-3</v>
      </c>
      <c r="H106" s="258">
        <f t="shared" si="31"/>
        <v>9.3983042880373985E-2</v>
      </c>
      <c r="I106" s="267">
        <f t="shared" si="31"/>
        <v>9.6072419402832634E-2</v>
      </c>
      <c r="R106" s="360"/>
      <c r="S106" s="358"/>
    </row>
    <row r="107" spans="2:19" x14ac:dyDescent="0.25">
      <c r="B107" s="274" t="s">
        <v>239</v>
      </c>
      <c r="C107" s="258">
        <f t="shared" si="31"/>
        <v>1.1599400691157396E-2</v>
      </c>
      <c r="D107" s="258">
        <f t="shared" si="31"/>
        <v>-4.6528382019298452E-2</v>
      </c>
      <c r="E107" s="258">
        <f t="shared" si="31"/>
        <v>1.2315029774884426E-2</v>
      </c>
      <c r="F107" s="258">
        <f t="shared" si="31"/>
        <v>-4.6528382019298452E-2</v>
      </c>
      <c r="G107" s="258">
        <f t="shared" si="31"/>
        <v>1.195721523302082E-2</v>
      </c>
      <c r="H107" s="258">
        <f t="shared" si="31"/>
        <v>-4.6528382019298452E-2</v>
      </c>
      <c r="I107" s="267">
        <f t="shared" si="31"/>
        <v>-5.8485597252319325E-2</v>
      </c>
      <c r="R107" s="360"/>
      <c r="S107" s="358"/>
    </row>
    <row r="108" spans="2:19" x14ac:dyDescent="0.25">
      <c r="B108" s="274" t="s">
        <v>240</v>
      </c>
      <c r="C108" s="258">
        <f t="shared" si="31"/>
        <v>-2.2600686660722288E-2</v>
      </c>
      <c r="D108" s="258">
        <f t="shared" si="31"/>
        <v>5.6944918137356512E-2</v>
      </c>
      <c r="E108" s="258">
        <f t="shared" si="31"/>
        <v>-2.2857474717604142E-2</v>
      </c>
      <c r="F108" s="258">
        <f t="shared" si="31"/>
        <v>5.6944918137356512E-2</v>
      </c>
      <c r="G108" s="258">
        <f t="shared" si="31"/>
        <v>-2.2729080689163315E-2</v>
      </c>
      <c r="H108" s="258">
        <f t="shared" si="31"/>
        <v>5.6944918137356512E-2</v>
      </c>
      <c r="I108" s="267">
        <f t="shared" si="31"/>
        <v>7.9673998826519599E-2</v>
      </c>
      <c r="R108" s="360"/>
      <c r="S108" s="358"/>
    </row>
    <row r="109" spans="2:19" x14ac:dyDescent="0.25">
      <c r="B109" s="274" t="s">
        <v>241</v>
      </c>
      <c r="C109" s="258">
        <f t="shared" si="31"/>
        <v>8.5345195273178027E-4</v>
      </c>
      <c r="D109" s="258">
        <f t="shared" si="31"/>
        <v>-0.1438081904909089</v>
      </c>
      <c r="E109" s="258">
        <f t="shared" si="31"/>
        <v>-3.2198684520712471E-5</v>
      </c>
      <c r="F109" s="258">
        <f t="shared" si="31"/>
        <v>-0.14380819049090876</v>
      </c>
      <c r="G109" s="258">
        <f t="shared" si="31"/>
        <v>4.1062663410559728E-4</v>
      </c>
      <c r="H109" s="258">
        <f t="shared" si="31"/>
        <v>-0.14380819049090876</v>
      </c>
      <c r="I109" s="267">
        <f t="shared" si="31"/>
        <v>-0.14421881712501425</v>
      </c>
      <c r="J109" s="368"/>
      <c r="R109" s="360"/>
      <c r="S109" s="358"/>
    </row>
    <row r="110" spans="2:19" x14ac:dyDescent="0.25">
      <c r="B110" s="274" t="s">
        <v>300</v>
      </c>
      <c r="C110" s="258">
        <f t="shared" ref="C110:I110" si="32">LN(C93/C92)</f>
        <v>3.1072807399608947E-3</v>
      </c>
      <c r="D110" s="258">
        <f t="shared" si="32"/>
        <v>2.5549678705396178E-2</v>
      </c>
      <c r="E110" s="258">
        <f t="shared" si="32"/>
        <v>3.6016411356230467E-3</v>
      </c>
      <c r="F110" s="258">
        <f t="shared" si="32"/>
        <v>2.5549678705396178E-2</v>
      </c>
      <c r="G110" s="258">
        <f t="shared" si="32"/>
        <v>3.3544609377920494E-3</v>
      </c>
      <c r="H110" s="258">
        <f t="shared" si="32"/>
        <v>2.5549678705396178E-2</v>
      </c>
      <c r="I110" s="267">
        <f t="shared" si="32"/>
        <v>2.2195217767604056E-2</v>
      </c>
      <c r="R110" s="360"/>
      <c r="S110" s="358"/>
    </row>
    <row r="111" spans="2:19" x14ac:dyDescent="0.25">
      <c r="B111" s="274" t="s">
        <v>301</v>
      </c>
      <c r="C111" s="258">
        <f t="shared" ref="C111:I111" si="33">LN(C94/C93)</f>
        <v>6.0337400072226705E-3</v>
      </c>
      <c r="D111" s="258">
        <f t="shared" si="33"/>
        <v>-2.9959775114263447E-2</v>
      </c>
      <c r="E111" s="258">
        <f t="shared" si="33"/>
        <v>6.0671738251788839E-3</v>
      </c>
      <c r="F111" s="258">
        <f t="shared" si="33"/>
        <v>-2.9959775114263332E-2</v>
      </c>
      <c r="G111" s="258">
        <f t="shared" si="33"/>
        <v>6.0504569162008375E-3</v>
      </c>
      <c r="H111" s="258">
        <f t="shared" si="33"/>
        <v>-2.9959775114263332E-2</v>
      </c>
      <c r="I111" s="267">
        <f t="shared" si="33"/>
        <v>-3.601023203046403E-2</v>
      </c>
      <c r="R111" s="360"/>
      <c r="S111" s="358"/>
    </row>
    <row r="112" spans="2:19" ht="15.75" thickBot="1" x14ac:dyDescent="0.35">
      <c r="B112" s="275" t="s">
        <v>91</v>
      </c>
      <c r="C112" s="269">
        <f t="shared" ref="C112:I112" si="34">AVERAGE(C100:C111)</f>
        <v>3.8004044082020311E-3</v>
      </c>
      <c r="D112" s="269">
        <f t="shared" si="34"/>
        <v>-6.3608659938439146E-3</v>
      </c>
      <c r="E112" s="269">
        <f t="shared" si="34"/>
        <v>3.7311482641707045E-3</v>
      </c>
      <c r="F112" s="269">
        <f t="shared" si="34"/>
        <v>-6.3608659938439111E-3</v>
      </c>
      <c r="G112" s="148">
        <f t="shared" si="34"/>
        <v>3.7657763361863693E-3</v>
      </c>
      <c r="H112" s="149">
        <f t="shared" si="34"/>
        <v>-6.3608659938439111E-3</v>
      </c>
      <c r="I112" s="137">
        <f t="shared" si="34"/>
        <v>-1.0126642330030288E-2</v>
      </c>
      <c r="R112" s="360"/>
      <c r="S112" s="358"/>
    </row>
    <row r="113" spans="1:18" ht="14.25" thickBot="1" x14ac:dyDescent="0.3">
      <c r="R113" s="358"/>
    </row>
    <row r="114" spans="1:18" ht="15.75" thickBot="1" x14ac:dyDescent="0.35">
      <c r="A114" s="358"/>
      <c r="B114" s="363" t="s">
        <v>271</v>
      </c>
      <c r="C114" s="364"/>
      <c r="D114" s="364"/>
      <c r="E114" s="364"/>
      <c r="F114" s="364"/>
      <c r="G114" s="364"/>
      <c r="H114" s="365"/>
      <c r="I114" s="147"/>
      <c r="J114" s="147"/>
      <c r="K114" s="147"/>
    </row>
    <row r="115" spans="1:18" ht="14.25" thickBot="1" x14ac:dyDescent="0.3">
      <c r="A115"/>
      <c r="B115" s="759" t="s">
        <v>255</v>
      </c>
      <c r="C115" s="759" t="s">
        <v>256</v>
      </c>
      <c r="D115" s="759" t="s">
        <v>303</v>
      </c>
      <c r="E115" s="759" t="s">
        <v>311</v>
      </c>
      <c r="F115" s="759" t="s">
        <v>312</v>
      </c>
      <c r="G115" s="759" t="s">
        <v>313</v>
      </c>
      <c r="H115" s="759" t="s">
        <v>314</v>
      </c>
      <c r="I115" s="33"/>
      <c r="J115" s="33"/>
      <c r="K115" s="147"/>
    </row>
    <row r="116" spans="1:18" ht="14.25" thickBot="1" x14ac:dyDescent="0.3">
      <c r="A116"/>
      <c r="B116" s="760"/>
      <c r="C116" s="760"/>
      <c r="D116" s="760"/>
      <c r="E116" s="760"/>
      <c r="F116" s="760"/>
      <c r="G116" s="760"/>
      <c r="H116" s="760"/>
      <c r="I116" s="33"/>
      <c r="J116" s="33"/>
      <c r="K116" s="147"/>
    </row>
    <row r="117" spans="1:18" x14ac:dyDescent="0.25">
      <c r="A117"/>
      <c r="B117" s="156">
        <v>0</v>
      </c>
      <c r="C117" s="186">
        <f t="shared" ref="C117:C129" si="35">LN(I82)</f>
        <v>0</v>
      </c>
      <c r="D117" s="276">
        <f>SLOPE(C117:C129,$B$117:$B$129)</f>
        <v>-1.1755973747648814E-2</v>
      </c>
      <c r="E117" s="186">
        <f t="shared" ref="E117:E129" si="36">LN(G82)</f>
        <v>0</v>
      </c>
      <c r="F117" s="276">
        <f>SLOPE(E117:E129,$B$117:$B$129)</f>
        <v>2.1745618542158857E-3</v>
      </c>
      <c r="G117" s="362">
        <f t="shared" ref="G117:G129" si="37">LN(H82)</f>
        <v>0</v>
      </c>
      <c r="H117" s="366">
        <f>SLOPE(G117:G129,$B$117:$B$129)</f>
        <v>-9.581411893432935E-3</v>
      </c>
      <c r="I117"/>
      <c r="J117"/>
    </row>
    <row r="118" spans="1:18" x14ac:dyDescent="0.25">
      <c r="A118"/>
      <c r="B118" s="156">
        <f t="shared" ref="B118:B129" si="38">B117+1</f>
        <v>1</v>
      </c>
      <c r="C118" s="186">
        <f t="shared" si="35"/>
        <v>7.1069017706203191E-2</v>
      </c>
      <c r="D118" s="147"/>
      <c r="E118" s="186">
        <f t="shared" si="36"/>
        <v>2.691298979361359E-2</v>
      </c>
      <c r="F118" s="147"/>
      <c r="G118" s="186">
        <f t="shared" si="37"/>
        <v>9.798200749981674E-2</v>
      </c>
      <c r="H118" s="277"/>
      <c r="I118"/>
      <c r="J118"/>
    </row>
    <row r="119" spans="1:18" x14ac:dyDescent="0.25">
      <c r="A119"/>
      <c r="B119" s="156">
        <f t="shared" si="38"/>
        <v>2</v>
      </c>
      <c r="C119" s="186">
        <f t="shared" si="35"/>
        <v>2.7537945723549784E-2</v>
      </c>
      <c r="D119" s="147"/>
      <c r="E119" s="186">
        <f t="shared" si="36"/>
        <v>3.3546269791913462E-2</v>
      </c>
      <c r="F119" s="147"/>
      <c r="G119" s="186">
        <f t="shared" si="37"/>
        <v>6.1084215515463322E-2</v>
      </c>
      <c r="H119" s="277"/>
      <c r="I119"/>
      <c r="J119"/>
    </row>
    <row r="120" spans="1:18" x14ac:dyDescent="0.25">
      <c r="B120" s="156">
        <f t="shared" si="38"/>
        <v>3</v>
      </c>
      <c r="C120" s="186">
        <f t="shared" si="35"/>
        <v>4.3306417283909132E-2</v>
      </c>
      <c r="D120" s="147"/>
      <c r="E120" s="186">
        <f t="shared" si="36"/>
        <v>3.4221185638898172E-2</v>
      </c>
      <c r="F120" s="147"/>
      <c r="G120" s="186">
        <f t="shared" si="37"/>
        <v>7.7527602922807387E-2</v>
      </c>
      <c r="H120" s="277"/>
    </row>
    <row r="121" spans="1:18" x14ac:dyDescent="0.25">
      <c r="B121" s="156">
        <f t="shared" si="38"/>
        <v>4</v>
      </c>
      <c r="C121" s="186">
        <f t="shared" si="35"/>
        <v>5.5009969871257121E-2</v>
      </c>
      <c r="D121" s="147"/>
      <c r="E121" s="186">
        <f t="shared" si="36"/>
        <v>4.0408858132511487E-2</v>
      </c>
      <c r="F121" s="147"/>
      <c r="G121" s="186">
        <f t="shared" si="37"/>
        <v>9.5418828003768705E-2</v>
      </c>
      <c r="H121" s="277"/>
    </row>
    <row r="122" spans="1:18" x14ac:dyDescent="0.25">
      <c r="B122" s="156">
        <f t="shared" si="38"/>
        <v>5</v>
      </c>
      <c r="C122" s="186">
        <f t="shared" si="35"/>
        <v>-0.11478490181123517</v>
      </c>
      <c r="D122" s="147"/>
      <c r="E122" s="186">
        <f t="shared" si="36"/>
        <v>3.0438881843136374E-2</v>
      </c>
      <c r="F122" s="147"/>
      <c r="G122" s="186">
        <f t="shared" si="37"/>
        <v>-8.4346019968098748E-2</v>
      </c>
      <c r="H122" s="277"/>
    </row>
    <row r="123" spans="1:18" x14ac:dyDescent="0.25">
      <c r="B123" s="156">
        <f t="shared" si="38"/>
        <v>6</v>
      </c>
      <c r="C123" s="186">
        <f t="shared" si="35"/>
        <v>-8.0746697549522073E-2</v>
      </c>
      <c r="D123" s="147"/>
      <c r="E123" s="186">
        <f t="shared" si="36"/>
        <v>4.8235013524738926E-2</v>
      </c>
      <c r="F123" s="147"/>
      <c r="G123" s="186">
        <f t="shared" si="37"/>
        <v>-3.2511684024783161E-2</v>
      </c>
      <c r="H123" s="277"/>
    </row>
    <row r="124" spans="1:18" x14ac:dyDescent="0.25">
      <c r="B124" s="156">
        <f t="shared" si="38"/>
        <v>7</v>
      </c>
      <c r="C124" s="186">
        <f t="shared" si="35"/>
        <v>1.5325721853310581E-2</v>
      </c>
      <c r="D124" s="147"/>
      <c r="E124" s="186">
        <f t="shared" si="36"/>
        <v>4.6145637002280367E-2</v>
      </c>
      <c r="F124" s="147"/>
      <c r="G124" s="186">
        <f t="shared" si="37"/>
        <v>6.1471358855590894E-2</v>
      </c>
      <c r="H124" s="277"/>
    </row>
    <row r="125" spans="1:18" x14ac:dyDescent="0.25">
      <c r="B125" s="156">
        <f t="shared" si="38"/>
        <v>8</v>
      </c>
      <c r="C125" s="186">
        <f t="shared" si="35"/>
        <v>-4.3159875399008743E-2</v>
      </c>
      <c r="D125" s="147"/>
      <c r="E125" s="186">
        <f t="shared" si="36"/>
        <v>5.8102852235301233E-2</v>
      </c>
      <c r="F125" s="147"/>
      <c r="G125" s="186">
        <f t="shared" si="37"/>
        <v>1.4942976836292438E-2</v>
      </c>
      <c r="H125" s="277"/>
    </row>
    <row r="126" spans="1:18" x14ac:dyDescent="0.25">
      <c r="B126" s="156">
        <f t="shared" si="38"/>
        <v>9</v>
      </c>
      <c r="C126" s="186">
        <f t="shared" si="35"/>
        <v>3.6514123427510925E-2</v>
      </c>
      <c r="D126" s="147"/>
      <c r="E126" s="186">
        <f t="shared" si="36"/>
        <v>3.5373771546137939E-2</v>
      </c>
      <c r="F126" s="147"/>
      <c r="G126" s="186">
        <f t="shared" si="37"/>
        <v>7.1887894973648933E-2</v>
      </c>
      <c r="H126" s="277"/>
    </row>
    <row r="127" spans="1:18" x14ac:dyDescent="0.25">
      <c r="B127" s="156">
        <f t="shared" si="38"/>
        <v>10</v>
      </c>
      <c r="C127" s="186">
        <f t="shared" si="35"/>
        <v>-0.10770469369750331</v>
      </c>
      <c r="D127" s="147"/>
      <c r="E127" s="186">
        <f t="shared" si="36"/>
        <v>3.5784398180243475E-2</v>
      </c>
      <c r="F127" s="147"/>
      <c r="G127" s="186">
        <f t="shared" si="37"/>
        <v>-7.1920295517259814E-2</v>
      </c>
      <c r="H127" s="277"/>
    </row>
    <row r="128" spans="1:18" x14ac:dyDescent="0.25">
      <c r="B128" s="156">
        <f t="shared" si="38"/>
        <v>11</v>
      </c>
      <c r="C128" s="186">
        <f t="shared" si="35"/>
        <v>-8.5509475929899159E-2</v>
      </c>
      <c r="D128" s="147"/>
      <c r="E128" s="186">
        <f t="shared" si="36"/>
        <v>3.9138859118035628E-2</v>
      </c>
      <c r="F128" s="147"/>
      <c r="G128" s="186">
        <f t="shared" si="37"/>
        <v>-4.6370616811863594E-2</v>
      </c>
      <c r="H128" s="277"/>
    </row>
    <row r="129" spans="2:8" ht="14.25" thickBot="1" x14ac:dyDescent="0.3">
      <c r="B129" s="398">
        <f t="shared" si="38"/>
        <v>12</v>
      </c>
      <c r="C129" s="399">
        <f t="shared" si="35"/>
        <v>-0.12151970796036322</v>
      </c>
      <c r="D129" s="172"/>
      <c r="E129" s="399">
        <f t="shared" si="36"/>
        <v>4.5189316034236371E-2</v>
      </c>
      <c r="F129" s="172"/>
      <c r="G129" s="399">
        <f t="shared" si="37"/>
        <v>-7.6330391926126881E-2</v>
      </c>
      <c r="H129" s="173"/>
    </row>
    <row r="130" spans="2:8" x14ac:dyDescent="0.25">
      <c r="B130" s="147"/>
      <c r="C130" s="147"/>
      <c r="D130" s="147"/>
      <c r="E130" s="147"/>
      <c r="F130" s="147"/>
      <c r="G130" s="158"/>
      <c r="H130" s="157"/>
    </row>
    <row r="131" spans="2:8" x14ac:dyDescent="0.25">
      <c r="B131" s="147"/>
      <c r="C131" s="147"/>
      <c r="D131" s="147"/>
      <c r="E131" s="147"/>
      <c r="F131" s="147"/>
      <c r="G131" s="147"/>
      <c r="H131" s="147"/>
    </row>
    <row r="132" spans="2:8" x14ac:dyDescent="0.25">
      <c r="B132" s="147"/>
      <c r="C132" s="147"/>
      <c r="D132" s="147"/>
      <c r="E132" s="147"/>
      <c r="F132" s="147"/>
      <c r="G132" s="147"/>
      <c r="H132" s="147"/>
    </row>
    <row r="133" spans="2:8" x14ac:dyDescent="0.25">
      <c r="B133" s="147"/>
      <c r="C133" s="147"/>
      <c r="D133" s="147"/>
      <c r="E133" s="147"/>
      <c r="F133" s="147"/>
      <c r="G133" s="147"/>
      <c r="H133" s="147"/>
    </row>
  </sheetData>
  <dataConsolidate link="1"/>
  <mergeCells count="7">
    <mergeCell ref="G115:G116"/>
    <mergeCell ref="H115:H116"/>
    <mergeCell ref="B115:B116"/>
    <mergeCell ref="C115:C116"/>
    <mergeCell ref="D115:D116"/>
    <mergeCell ref="E115:E116"/>
    <mergeCell ref="F115:F116"/>
  </mergeCells>
  <pageMargins left="0.7" right="0.7" top="0.75" bottom="0.75" header="0.3" footer="0.3"/>
  <pageSetup scale="83" orientation="landscape" r:id="rId1"/>
  <headerFooter>
    <oddHeader>&amp;CFiled: 2016-10-26, EB-2016-0152
Exhibit L, Tab 11.1 Schedule 1 Staff-246</oddHeader>
  </headerFooter>
  <rowBreaks count="2" manualBreakCount="2">
    <brk id="39" max="10" man="1"/>
    <brk id="94" max="10" man="1"/>
  </rowBreaks>
  <colBreaks count="1" manualBreakCount="1">
    <brk id="11" max="113"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'OPG hydro peers'!$D$4:$D$23</xm:f>
          </x14:formula1>
          <xm:sqref>C2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BQ239"/>
  <sheetViews>
    <sheetView showGridLines="0" zoomScale="85" zoomScaleNormal="85" zoomScaleSheetLayoutView="100" zoomScalePageLayoutView="85" workbookViewId="0">
      <pane xSplit="6" ySplit="5" topLeftCell="G201" activePane="bottomRight" state="frozen"/>
      <selection activeCell="I31" sqref="I31"/>
      <selection pane="topRight" activeCell="I31" sqref="I31"/>
      <selection pane="bottomLeft" activeCell="I31" sqref="I31"/>
      <selection pane="bottomRight" activeCell="H239" sqref="H239"/>
    </sheetView>
  </sheetViews>
  <sheetFormatPr defaultColWidth="8.85546875" defaultRowHeight="13.5" x14ac:dyDescent="0.2"/>
  <cols>
    <col min="1" max="1" width="2.85546875" customWidth="1"/>
    <col min="2" max="2" width="8.28515625" style="2" bestFit="1" customWidth="1"/>
    <col min="3" max="3" width="7.28515625" style="2" bestFit="1" customWidth="1"/>
    <col min="4" max="4" width="20.42578125" style="2" bestFit="1" customWidth="1"/>
    <col min="5" max="5" width="20.42578125" style="463" customWidth="1"/>
    <col min="6" max="6" width="5" style="14" bestFit="1" customWidth="1"/>
    <col min="7" max="7" width="8" style="2" bestFit="1" customWidth="1"/>
    <col min="8" max="9" width="8" style="2" customWidth="1"/>
    <col min="10" max="10" width="14.140625" style="2" bestFit="1" customWidth="1"/>
    <col min="11" max="11" width="14.7109375" style="2" bestFit="1" customWidth="1"/>
    <col min="12" max="12" width="14.7109375" style="2" customWidth="1"/>
    <col min="13" max="13" width="18.42578125" style="2" bestFit="1" customWidth="1"/>
    <col min="14" max="14" width="18.42578125" style="2" customWidth="1"/>
    <col min="15" max="15" width="12.140625" style="2" bestFit="1" customWidth="1"/>
    <col min="16" max="16" width="19" style="2" bestFit="1" customWidth="1"/>
    <col min="17" max="17" width="20" style="2" bestFit="1" customWidth="1"/>
    <col min="18" max="22" width="15.85546875" style="2" customWidth="1"/>
    <col min="23" max="23" width="12.42578125" style="3" customWidth="1"/>
    <col min="24" max="24" width="12" style="2" customWidth="1"/>
    <col min="25" max="25" width="12.42578125" style="2" customWidth="1"/>
    <col min="26" max="26" width="12.85546875" style="2" customWidth="1"/>
    <col min="27" max="27" width="19.7109375" style="2" customWidth="1"/>
    <col min="28" max="29" width="23.42578125" style="2" customWidth="1"/>
    <col min="30" max="30" width="14.28515625" bestFit="1" customWidth="1"/>
    <col min="31" max="32" width="10.42578125" bestFit="1" customWidth="1"/>
    <col min="33" max="33" width="8.85546875" style="15"/>
  </cols>
  <sheetData>
    <row r="1" spans="2:69" x14ac:dyDescent="0.2">
      <c r="P1" s="415">
        <f>AVERAGE(P6:P18)</f>
        <v>0.22554587855518504</v>
      </c>
      <c r="Q1" s="415">
        <f>'EUCG L share'!E34</f>
        <v>0.62709408102958719</v>
      </c>
      <c r="R1" s="414"/>
      <c r="S1" s="414"/>
      <c r="T1" s="414"/>
      <c r="U1" s="414"/>
      <c r="V1" s="414"/>
      <c r="W1" s="2"/>
    </row>
    <row r="2" spans="2:69" x14ac:dyDescent="0.2">
      <c r="B2" s="80"/>
      <c r="C2" s="80"/>
      <c r="D2" s="80"/>
      <c r="E2" s="463" t="s">
        <v>799</v>
      </c>
      <c r="F2" s="81"/>
      <c r="G2" s="80" t="s">
        <v>1</v>
      </c>
      <c r="H2" s="80"/>
      <c r="I2" s="80"/>
      <c r="J2" s="80"/>
      <c r="K2" s="80" t="s">
        <v>1</v>
      </c>
      <c r="L2" s="80"/>
      <c r="M2" s="80" t="s">
        <v>1</v>
      </c>
      <c r="N2" s="80"/>
      <c r="O2" s="80" t="s">
        <v>1</v>
      </c>
      <c r="P2" s="80"/>
      <c r="Q2" s="80"/>
      <c r="R2" s="80" t="s">
        <v>2</v>
      </c>
      <c r="S2" s="80"/>
      <c r="T2" s="80"/>
      <c r="U2" s="80"/>
      <c r="V2" s="80"/>
      <c r="W2" s="80" t="s">
        <v>3</v>
      </c>
      <c r="X2" s="80" t="s">
        <v>3</v>
      </c>
      <c r="Y2" s="80" t="s">
        <v>3</v>
      </c>
      <c r="Z2" s="80" t="s">
        <v>3</v>
      </c>
      <c r="AA2" s="80" t="s">
        <v>3</v>
      </c>
      <c r="AB2" s="80" t="s">
        <v>3</v>
      </c>
      <c r="AC2" s="80" t="s">
        <v>167</v>
      </c>
    </row>
    <row r="3" spans="2:69" x14ac:dyDescent="0.2">
      <c r="B3" s="80"/>
      <c r="C3" s="80"/>
      <c r="D3" s="80"/>
      <c r="F3" s="81"/>
      <c r="G3" s="80" t="s">
        <v>18</v>
      </c>
      <c r="H3" s="80"/>
      <c r="I3" s="80"/>
      <c r="J3" s="80" t="s">
        <v>20</v>
      </c>
      <c r="K3" s="80" t="s">
        <v>19</v>
      </c>
      <c r="L3" s="80"/>
      <c r="M3" s="80" t="s">
        <v>19</v>
      </c>
      <c r="N3" s="80"/>
      <c r="O3" s="80" t="s">
        <v>19</v>
      </c>
      <c r="P3" s="80" t="s">
        <v>20</v>
      </c>
      <c r="Q3" s="80" t="s">
        <v>20</v>
      </c>
      <c r="R3" s="80" t="s">
        <v>21</v>
      </c>
      <c r="S3" s="80"/>
      <c r="T3" s="80" t="s">
        <v>21</v>
      </c>
      <c r="U3" s="80"/>
      <c r="V3" s="80"/>
      <c r="W3" s="80" t="s">
        <v>19</v>
      </c>
      <c r="X3" s="80" t="s">
        <v>19</v>
      </c>
      <c r="Y3" s="80" t="s">
        <v>20</v>
      </c>
      <c r="Z3" s="80" t="s">
        <v>20</v>
      </c>
      <c r="AA3" s="80" t="s">
        <v>20</v>
      </c>
      <c r="AB3" s="80" t="s">
        <v>20</v>
      </c>
      <c r="AC3" s="80" t="s">
        <v>168</v>
      </c>
    </row>
    <row r="4" spans="2:69" x14ac:dyDescent="0.2">
      <c r="B4" s="80"/>
      <c r="C4" s="80"/>
      <c r="D4" s="80"/>
      <c r="E4" s="463" t="s">
        <v>800</v>
      </c>
      <c r="F4" s="81"/>
      <c r="G4" s="80"/>
      <c r="H4" s="80"/>
      <c r="I4" s="80"/>
      <c r="J4" s="80"/>
      <c r="K4" s="80"/>
      <c r="L4" s="80"/>
      <c r="M4" s="80"/>
      <c r="N4" s="80"/>
      <c r="O4" s="80"/>
      <c r="P4" s="80"/>
      <c r="Q4" s="80"/>
      <c r="R4" s="80"/>
      <c r="S4" s="80"/>
      <c r="T4" s="80"/>
      <c r="U4" s="80"/>
      <c r="V4" s="80"/>
      <c r="W4" s="80"/>
      <c r="X4" s="80"/>
      <c r="Y4" s="80"/>
      <c r="Z4" s="80"/>
      <c r="AA4" s="80"/>
      <c r="AB4" s="80"/>
      <c r="AC4" s="80"/>
    </row>
    <row r="5" spans="2:69" ht="15" x14ac:dyDescent="0.2">
      <c r="B5" s="68" t="s">
        <v>93</v>
      </c>
      <c r="C5" s="68" t="s">
        <v>22</v>
      </c>
      <c r="D5" s="68" t="s">
        <v>23</v>
      </c>
      <c r="E5" s="653">
        <v>214</v>
      </c>
      <c r="F5" s="82" t="s">
        <v>4</v>
      </c>
      <c r="G5" s="83" t="s">
        <v>24</v>
      </c>
      <c r="H5" s="83"/>
      <c r="I5" s="83"/>
      <c r="J5" s="83" t="s">
        <v>165</v>
      </c>
      <c r="K5" s="68" t="s">
        <v>161</v>
      </c>
      <c r="L5" s="68"/>
      <c r="M5" s="68" t="s">
        <v>160</v>
      </c>
      <c r="N5" s="68"/>
      <c r="O5" s="68" t="s">
        <v>159</v>
      </c>
      <c r="P5" s="68" t="s">
        <v>212</v>
      </c>
      <c r="Q5" s="16" t="s">
        <v>25</v>
      </c>
      <c r="R5" s="68" t="s">
        <v>26</v>
      </c>
      <c r="S5" s="68"/>
      <c r="T5" s="68" t="s">
        <v>694</v>
      </c>
      <c r="U5" s="68"/>
      <c r="V5" s="68"/>
      <c r="W5" s="68" t="s">
        <v>27</v>
      </c>
      <c r="X5" s="68" t="s">
        <v>28</v>
      </c>
      <c r="Y5" s="16" t="s">
        <v>29</v>
      </c>
      <c r="Z5" s="16" t="s">
        <v>162</v>
      </c>
      <c r="AA5" s="16" t="s">
        <v>163</v>
      </c>
      <c r="AB5" s="16" t="s">
        <v>164</v>
      </c>
      <c r="AC5" s="16" t="s">
        <v>166</v>
      </c>
    </row>
    <row r="6" spans="2:69" x14ac:dyDescent="0.2">
      <c r="B6" s="2">
        <f>'OPG hydro peers'!B4</f>
        <v>1</v>
      </c>
      <c r="C6" s="2">
        <v>0</v>
      </c>
      <c r="D6" s="2" t="s">
        <v>31</v>
      </c>
      <c r="F6" s="14">
        <v>2002</v>
      </c>
      <c r="G6" s="422">
        <v>6898.5099999999984</v>
      </c>
      <c r="H6" s="422"/>
      <c r="I6" s="407"/>
      <c r="J6" s="17">
        <f t="shared" ref="J6:J18" si="0">R6/(G6*8760)</f>
        <v>0.56225759067858816</v>
      </c>
      <c r="K6" s="408">
        <v>78723.459999999992</v>
      </c>
      <c r="L6" s="408"/>
      <c r="M6" s="408">
        <v>39165.660000000003</v>
      </c>
      <c r="N6" s="408"/>
      <c r="O6" s="3">
        <f t="shared" ref="O6:O18" si="1">SUM($K6:$M6)</f>
        <v>117889.12</v>
      </c>
      <c r="P6" s="17">
        <f>O6/$O$214</f>
        <v>0.22785108411987368</v>
      </c>
      <c r="Q6" s="17">
        <f t="shared" ref="Q6:Q17" si="2">K6/O6</f>
        <v>0.66777544865887539</v>
      </c>
      <c r="R6" s="407">
        <v>33977759</v>
      </c>
      <c r="S6" s="407"/>
      <c r="T6" s="407"/>
      <c r="U6" s="407"/>
      <c r="V6" s="407"/>
      <c r="W6" s="407">
        <v>2126289.7744959998</v>
      </c>
      <c r="X6" s="3">
        <f t="shared" ref="X6:X16" si="3">W6-O6</f>
        <v>2008400.6544959997</v>
      </c>
      <c r="Y6" s="17">
        <f>X6/W6</f>
        <v>0.94455641869041873</v>
      </c>
      <c r="Z6" s="17">
        <f>1-Y6</f>
        <v>5.5443581309581269E-2</v>
      </c>
      <c r="AA6" s="108">
        <f t="shared" ref="AA6:AA16" si="4">Z6*Q6</f>
        <v>3.7023862384260468E-2</v>
      </c>
      <c r="AB6" s="108">
        <f>Z6-AA6</f>
        <v>1.8419718925320801E-2</v>
      </c>
      <c r="AC6" s="135">
        <f>'Can O&amp;M price indexes'!N15</f>
        <v>1</v>
      </c>
      <c r="AG6" s="239"/>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row>
    <row r="7" spans="2:69" x14ac:dyDescent="0.2">
      <c r="B7" s="2">
        <f t="shared" ref="B7:B18" si="5">B6</f>
        <v>1</v>
      </c>
      <c r="C7" s="2">
        <f t="shared" ref="C7:C18" si="6">C6</f>
        <v>0</v>
      </c>
      <c r="D7" s="2" t="s">
        <v>31</v>
      </c>
      <c r="F7" s="14">
        <v>2003</v>
      </c>
      <c r="G7" s="422">
        <v>6926.0099999999984</v>
      </c>
      <c r="H7" s="423">
        <f>LN(G7/G6)</f>
        <v>3.978443558622047E-3</v>
      </c>
      <c r="I7" s="407"/>
      <c r="J7" s="17">
        <f t="shared" si="0"/>
        <v>0.54725193501442027</v>
      </c>
      <c r="K7" s="408">
        <v>84147.322400000005</v>
      </c>
      <c r="L7" s="408"/>
      <c r="M7" s="408">
        <v>46554.921589999998</v>
      </c>
      <c r="N7" s="408"/>
      <c r="O7" s="3">
        <f t="shared" si="1"/>
        <v>130702.24399</v>
      </c>
      <c r="P7" s="17">
        <f>O7/$O$215</f>
        <v>0.23304621269884321</v>
      </c>
      <c r="Q7" s="17">
        <f t="shared" si="2"/>
        <v>0.64380931674316244</v>
      </c>
      <c r="R7" s="407">
        <v>33202786</v>
      </c>
      <c r="S7" s="407"/>
      <c r="T7" s="407"/>
      <c r="U7" s="407"/>
      <c r="V7" s="407"/>
      <c r="W7" s="407">
        <v>2068079.04862</v>
      </c>
      <c r="X7" s="3">
        <f t="shared" si="3"/>
        <v>1937376.8046299999</v>
      </c>
      <c r="Y7" s="17">
        <f t="shared" ref="Y7:Y16" si="7">X7/W7</f>
        <v>0.93680017014958117</v>
      </c>
      <c r="Z7" s="17">
        <f t="shared" ref="Z7:Z16" si="8">1-Y7</f>
        <v>6.3199829850418832E-2</v>
      </c>
      <c r="AA7" s="108">
        <f t="shared" si="4"/>
        <v>4.0688639274282269E-2</v>
      </c>
      <c r="AB7" s="108">
        <f t="shared" ref="AB7:AB16" si="9">Z7-AA7</f>
        <v>2.2511190576136562E-2</v>
      </c>
      <c r="AC7" s="135">
        <f>'Can O&amp;M price indexes'!N16</f>
        <v>1.0216477671655084</v>
      </c>
      <c r="AG7" s="239"/>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row>
    <row r="8" spans="2:69" x14ac:dyDescent="0.2">
      <c r="B8" s="2">
        <f t="shared" si="5"/>
        <v>1</v>
      </c>
      <c r="C8" s="2">
        <f t="shared" si="6"/>
        <v>0</v>
      </c>
      <c r="D8" s="2" t="s">
        <v>31</v>
      </c>
      <c r="F8" s="14">
        <v>2004</v>
      </c>
      <c r="G8" s="422">
        <v>6958.0099999999984</v>
      </c>
      <c r="H8" s="423">
        <f t="shared" ref="H8:H18" si="10">LN(G8/G7)</f>
        <v>4.6096241093004642E-3</v>
      </c>
      <c r="I8" s="407"/>
      <c r="J8" s="17">
        <f t="shared" si="0"/>
        <v>0.57998385278097986</v>
      </c>
      <c r="K8" s="408">
        <v>88414.01066</v>
      </c>
      <c r="L8" s="408"/>
      <c r="M8" s="408">
        <v>43797.113089999999</v>
      </c>
      <c r="N8" s="408"/>
      <c r="O8" s="3">
        <f t="shared" si="1"/>
        <v>132211.12375</v>
      </c>
      <c r="P8" s="17">
        <f>O8/$O$216</f>
        <v>0.22010150276544066</v>
      </c>
      <c r="Q8" s="17">
        <f t="shared" si="2"/>
        <v>0.66873352371759109</v>
      </c>
      <c r="R8" s="407">
        <v>35351273</v>
      </c>
      <c r="S8" s="407"/>
      <c r="T8" s="407"/>
      <c r="U8" s="407"/>
      <c r="V8" s="407"/>
      <c r="W8" s="407">
        <v>1851547.2550300001</v>
      </c>
      <c r="X8" s="3">
        <f t="shared" si="3"/>
        <v>1719336.1312800001</v>
      </c>
      <c r="Y8" s="17">
        <f t="shared" si="7"/>
        <v>0.92859424819386649</v>
      </c>
      <c r="Z8" s="17">
        <f t="shared" si="8"/>
        <v>7.1405751806133511E-2</v>
      </c>
      <c r="AA8" s="108">
        <f t="shared" si="4"/>
        <v>4.7751420019019407E-2</v>
      </c>
      <c r="AB8" s="108">
        <f t="shared" si="9"/>
        <v>2.3654331787114104E-2</v>
      </c>
      <c r="AC8" s="135">
        <f>'Can O&amp;M price indexes'!N17</f>
        <v>1.046469360323721</v>
      </c>
      <c r="AG8" s="239"/>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row>
    <row r="9" spans="2:69" x14ac:dyDescent="0.2">
      <c r="B9" s="2">
        <f t="shared" si="5"/>
        <v>1</v>
      </c>
      <c r="C9" s="2">
        <f t="shared" si="6"/>
        <v>0</v>
      </c>
      <c r="D9" s="2" t="s">
        <v>31</v>
      </c>
      <c r="F9" s="14">
        <v>2005</v>
      </c>
      <c r="G9" s="422">
        <v>6923.6099999999988</v>
      </c>
      <c r="H9" s="423">
        <f t="shared" si="10"/>
        <v>-4.9562040189331307E-3</v>
      </c>
      <c r="I9" s="407"/>
      <c r="J9" s="17">
        <f t="shared" si="0"/>
        <v>0.55212964989316327</v>
      </c>
      <c r="K9" s="408">
        <v>91482.578680000006</v>
      </c>
      <c r="L9" s="408"/>
      <c r="M9" s="408">
        <v>50905.888859999999</v>
      </c>
      <c r="N9" s="408"/>
      <c r="O9" s="3">
        <f t="shared" si="1"/>
        <v>142388.46754000001</v>
      </c>
      <c r="P9" s="17">
        <f>O9/$O$217</f>
        <v>0.22793721029367725</v>
      </c>
      <c r="Q9" s="17">
        <f t="shared" si="2"/>
        <v>0.64248587164757964</v>
      </c>
      <c r="R9" s="407">
        <v>33487118</v>
      </c>
      <c r="S9" s="407"/>
      <c r="T9" s="407"/>
      <c r="U9" s="407"/>
      <c r="V9" s="407"/>
      <c r="W9" s="407">
        <v>1837930.4661700001</v>
      </c>
      <c r="X9" s="3">
        <f>W9-O9</f>
        <v>1695541.99863</v>
      </c>
      <c r="Y9" s="17">
        <f t="shared" si="7"/>
        <v>0.92252782672637312</v>
      </c>
      <c r="Z9" s="17">
        <f t="shared" si="8"/>
        <v>7.7472173273626876E-2</v>
      </c>
      <c r="AA9" s="108">
        <f t="shared" si="4"/>
        <v>4.9774776774138489E-2</v>
      </c>
      <c r="AB9" s="108">
        <f t="shared" si="9"/>
        <v>2.7697396499488387E-2</v>
      </c>
      <c r="AC9" s="135">
        <f>'Can O&amp;M price indexes'!N18</f>
        <v>1.0786967724726459</v>
      </c>
      <c r="AG9" s="239"/>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row>
    <row r="10" spans="2:69" x14ac:dyDescent="0.2">
      <c r="B10" s="2">
        <f t="shared" si="5"/>
        <v>1</v>
      </c>
      <c r="C10" s="2">
        <f t="shared" si="6"/>
        <v>0</v>
      </c>
      <c r="D10" s="2" t="s">
        <v>31</v>
      </c>
      <c r="F10" s="14">
        <v>2006</v>
      </c>
      <c r="G10" s="422">
        <v>6971.0099999999984</v>
      </c>
      <c r="H10" s="423">
        <f t="shared" si="10"/>
        <v>6.8228111132691283E-3</v>
      </c>
      <c r="I10" s="407"/>
      <c r="J10" s="17">
        <f t="shared" si="0"/>
        <v>0.56216887041498997</v>
      </c>
      <c r="K10" s="408">
        <v>100681.86233</v>
      </c>
      <c r="L10" s="408"/>
      <c r="M10" s="408">
        <v>55924.058429999997</v>
      </c>
      <c r="N10" s="408"/>
      <c r="O10" s="3">
        <f t="shared" si="1"/>
        <v>156605.92076000001</v>
      </c>
      <c r="P10" s="17">
        <f>O10/$O$218</f>
        <v>0.23569870842290067</v>
      </c>
      <c r="Q10" s="17">
        <f t="shared" si="2"/>
        <v>0.64289946281338795</v>
      </c>
      <c r="R10" s="407">
        <v>34329431</v>
      </c>
      <c r="S10" s="407"/>
      <c r="T10" s="407"/>
      <c r="U10" s="407"/>
      <c r="V10" s="407"/>
      <c r="W10" s="407">
        <v>1408919.80602</v>
      </c>
      <c r="X10" s="3">
        <f t="shared" si="3"/>
        <v>1252313.8852599999</v>
      </c>
      <c r="Y10" s="17">
        <f t="shared" si="7"/>
        <v>0.88884681719225045</v>
      </c>
      <c r="Z10" s="17">
        <f t="shared" si="8"/>
        <v>0.11115318280774955</v>
      </c>
      <c r="AA10" s="108">
        <f t="shared" si="4"/>
        <v>7.1460321517100495E-2</v>
      </c>
      <c r="AB10" s="108">
        <f t="shared" si="9"/>
        <v>3.9692861290649056E-2</v>
      </c>
      <c r="AC10" s="135">
        <f>'Can O&amp;M price indexes'!N19</f>
        <v>1.099250227385117</v>
      </c>
      <c r="AG10" s="239"/>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row>
    <row r="11" spans="2:69" x14ac:dyDescent="0.2">
      <c r="B11" s="2">
        <f t="shared" si="5"/>
        <v>1</v>
      </c>
      <c r="C11" s="2">
        <f t="shared" si="6"/>
        <v>0</v>
      </c>
      <c r="D11" s="2" t="s">
        <v>31</v>
      </c>
      <c r="F11" s="14">
        <v>2007</v>
      </c>
      <c r="G11" s="422">
        <v>6970.8099999999986</v>
      </c>
      <c r="H11" s="423">
        <f t="shared" si="10"/>
        <v>-2.8690658753787486E-5</v>
      </c>
      <c r="I11" s="407"/>
      <c r="J11" s="17">
        <f t="shared" si="0"/>
        <v>0.54019648758545591</v>
      </c>
      <c r="K11" s="408">
        <v>106219.52222</v>
      </c>
      <c r="L11" s="408"/>
      <c r="M11" s="408">
        <v>58734.58023</v>
      </c>
      <c r="N11" s="408"/>
      <c r="O11" s="3">
        <f t="shared" si="1"/>
        <v>164954.10245000001</v>
      </c>
      <c r="P11" s="17">
        <f>O11/$O$219</f>
        <v>0.22869865785028543</v>
      </c>
      <c r="Q11" s="17">
        <f t="shared" si="2"/>
        <v>0.64393380123538724</v>
      </c>
      <c r="R11" s="407">
        <v>32986718</v>
      </c>
      <c r="S11" s="407"/>
      <c r="T11" s="407"/>
      <c r="U11" s="407"/>
      <c r="V11" s="407"/>
      <c r="W11" s="407">
        <v>1378521.0506000002</v>
      </c>
      <c r="X11" s="3">
        <f t="shared" si="3"/>
        <v>1213566.9481500001</v>
      </c>
      <c r="Y11" s="17">
        <f t="shared" si="7"/>
        <v>0.88033980157342973</v>
      </c>
      <c r="Z11" s="17">
        <f t="shared" si="8"/>
        <v>0.11966019842657027</v>
      </c>
      <c r="AA11" s="108">
        <f t="shared" si="4"/>
        <v>7.7053246429402103E-2</v>
      </c>
      <c r="AB11" s="108">
        <f t="shared" si="9"/>
        <v>4.2606951997168171E-2</v>
      </c>
      <c r="AC11" s="135">
        <f>'Can O&amp;M price indexes'!N20</f>
        <v>1.1354504219317154</v>
      </c>
      <c r="AG11" s="239"/>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row>
    <row r="12" spans="2:69" x14ac:dyDescent="0.2">
      <c r="B12" s="2">
        <f t="shared" si="5"/>
        <v>1</v>
      </c>
      <c r="C12" s="2">
        <f t="shared" si="6"/>
        <v>0</v>
      </c>
      <c r="D12" s="2" t="s">
        <v>31</v>
      </c>
      <c r="F12" s="14">
        <v>2008</v>
      </c>
      <c r="G12" s="422">
        <f>7030.41-11.75-10.8-5.2-3.5</f>
        <v>6999.16</v>
      </c>
      <c r="H12" s="423">
        <f t="shared" si="10"/>
        <v>4.0587114958416624E-3</v>
      </c>
      <c r="I12" s="407"/>
      <c r="J12" s="17">
        <f t="shared" si="0"/>
        <v>0.61036884276080505</v>
      </c>
      <c r="K12" s="408">
        <v>110503.06468000001</v>
      </c>
      <c r="L12" s="408"/>
      <c r="M12" s="408">
        <v>75236.367070000008</v>
      </c>
      <c r="N12" s="408"/>
      <c r="O12" s="3">
        <f t="shared" si="1"/>
        <v>185739.43175000002</v>
      </c>
      <c r="P12" s="17">
        <f>O12/$O$220</f>
        <v>0.23762543984604442</v>
      </c>
      <c r="Q12" s="17">
        <f t="shared" si="2"/>
        <v>0.594935946766188</v>
      </c>
      <c r="R12" s="407">
        <v>37423326.099999994</v>
      </c>
      <c r="S12" s="407"/>
      <c r="T12" s="407"/>
      <c r="U12" s="407"/>
      <c r="V12" s="407"/>
      <c r="W12" s="407">
        <v>1615588.8934800001</v>
      </c>
      <c r="X12" s="3">
        <f t="shared" si="3"/>
        <v>1429849.4617300001</v>
      </c>
      <c r="Y12" s="17">
        <f t="shared" si="7"/>
        <v>0.88503298549551501</v>
      </c>
      <c r="Z12" s="17">
        <f t="shared" si="8"/>
        <v>0.11496701450448499</v>
      </c>
      <c r="AA12" s="108">
        <f t="shared" si="4"/>
        <v>6.8398009621107841E-2</v>
      </c>
      <c r="AB12" s="108">
        <f t="shared" si="9"/>
        <v>4.6569004883377146E-2</v>
      </c>
      <c r="AC12" s="135">
        <f>'Can O&amp;M price indexes'!N21</f>
        <v>1.1628231376944895</v>
      </c>
      <c r="AG12" s="239"/>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row>
    <row r="13" spans="2:69" x14ac:dyDescent="0.2">
      <c r="B13" s="2">
        <f t="shared" si="5"/>
        <v>1</v>
      </c>
      <c r="C13" s="2">
        <f t="shared" si="6"/>
        <v>0</v>
      </c>
      <c r="D13" s="2" t="s">
        <v>31</v>
      </c>
      <c r="F13" s="14">
        <v>2009</v>
      </c>
      <c r="G13" s="422">
        <f>6919.623-10.8-3.6</f>
        <v>6905.222999999999</v>
      </c>
      <c r="H13" s="423">
        <f t="shared" si="10"/>
        <v>-1.3512060076880009E-2</v>
      </c>
      <c r="I13" s="407"/>
      <c r="J13" s="17">
        <f t="shared" si="0"/>
        <v>0.60015051329318148</v>
      </c>
      <c r="K13" s="408">
        <v>114132.30885</v>
      </c>
      <c r="L13" s="408"/>
      <c r="M13" s="408">
        <v>70964.519109999994</v>
      </c>
      <c r="N13" s="408"/>
      <c r="O13" s="3">
        <f t="shared" si="1"/>
        <v>185096.82796</v>
      </c>
      <c r="P13" s="17">
        <f>O13/$O$221</f>
        <v>0.23676533742475953</v>
      </c>
      <c r="Q13" s="17">
        <f t="shared" si="2"/>
        <v>0.61660866967782046</v>
      </c>
      <c r="R13" s="407">
        <v>36302956.600000001</v>
      </c>
      <c r="S13" s="407"/>
      <c r="T13" s="407"/>
      <c r="U13" s="407"/>
      <c r="V13" s="407"/>
      <c r="W13" s="407">
        <v>1335251.2364000001</v>
      </c>
      <c r="X13" s="3">
        <f t="shared" si="3"/>
        <v>1150154.4084400001</v>
      </c>
      <c r="Y13" s="17">
        <f t="shared" si="7"/>
        <v>0.86137677845628247</v>
      </c>
      <c r="Z13" s="17">
        <f t="shared" si="8"/>
        <v>0.13862322154371753</v>
      </c>
      <c r="AA13" s="108">
        <f t="shared" si="4"/>
        <v>8.5476280222525444E-2</v>
      </c>
      <c r="AB13" s="108">
        <f t="shared" si="9"/>
        <v>5.314694132119209E-2</v>
      </c>
      <c r="AC13" s="135">
        <f>'Can O&amp;M price indexes'!N22</f>
        <v>1.177420350781766</v>
      </c>
      <c r="AG13" s="239"/>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row>
    <row r="14" spans="2:69" x14ac:dyDescent="0.2">
      <c r="B14" s="2">
        <f t="shared" si="5"/>
        <v>1</v>
      </c>
      <c r="C14" s="2">
        <f t="shared" si="6"/>
        <v>0</v>
      </c>
      <c r="D14" s="2" t="s">
        <v>31</v>
      </c>
      <c r="F14" s="14">
        <v>2010</v>
      </c>
      <c r="G14" s="422">
        <v>6905.5699999999988</v>
      </c>
      <c r="H14" s="423">
        <f t="shared" si="10"/>
        <v>5.0250554051856811E-5</v>
      </c>
      <c r="I14" s="407"/>
      <c r="J14" s="17">
        <f t="shared" si="0"/>
        <v>0.50532066189993696</v>
      </c>
      <c r="K14" s="408">
        <v>107411.93009929522</v>
      </c>
      <c r="L14" s="408"/>
      <c r="M14" s="408">
        <v>77281.183353160057</v>
      </c>
      <c r="N14" s="408"/>
      <c r="O14" s="3">
        <f t="shared" si="1"/>
        <v>184693.11345245526</v>
      </c>
      <c r="P14" s="17">
        <f>O14/$O$222</f>
        <v>0.21977972051385733</v>
      </c>
      <c r="Q14" s="17">
        <f t="shared" si="2"/>
        <v>0.58156976235578917</v>
      </c>
      <c r="R14" s="407">
        <v>30568258.300000001</v>
      </c>
      <c r="S14" s="407"/>
      <c r="T14" s="407"/>
      <c r="U14" s="407"/>
      <c r="V14" s="407"/>
      <c r="W14" s="407">
        <v>1125925.9085899999</v>
      </c>
      <c r="X14" s="3">
        <f t="shared" si="3"/>
        <v>941232.79513754463</v>
      </c>
      <c r="Y14" s="17">
        <f t="shared" si="7"/>
        <v>0.83596335065799587</v>
      </c>
      <c r="Z14" s="17">
        <f t="shared" si="8"/>
        <v>0.16403664934200413</v>
      </c>
      <c r="AA14" s="108">
        <f t="shared" si="4"/>
        <v>9.5398755175469252E-2</v>
      </c>
      <c r="AB14" s="108">
        <f t="shared" si="9"/>
        <v>6.8637894166534874E-2</v>
      </c>
      <c r="AC14" s="135">
        <f>'Can O&amp;M price indexes'!N23</f>
        <v>1.2104167536102524</v>
      </c>
      <c r="AG14" s="239"/>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row>
    <row r="15" spans="2:69" x14ac:dyDescent="0.2">
      <c r="B15" s="2">
        <f t="shared" si="5"/>
        <v>1</v>
      </c>
      <c r="C15" s="2">
        <f t="shared" si="6"/>
        <v>0</v>
      </c>
      <c r="D15" s="2" t="s">
        <v>31</v>
      </c>
      <c r="F15" s="14">
        <v>2011</v>
      </c>
      <c r="G15" s="422">
        <v>6422</v>
      </c>
      <c r="H15" s="423">
        <f t="shared" si="10"/>
        <v>-7.2598736664586855E-2</v>
      </c>
      <c r="I15" s="407"/>
      <c r="J15" s="17">
        <f t="shared" si="0"/>
        <v>0.5396674495064766</v>
      </c>
      <c r="K15" s="408">
        <v>110456.35376672391</v>
      </c>
      <c r="L15" s="408"/>
      <c r="M15" s="408">
        <v>64154.284907597321</v>
      </c>
      <c r="N15" s="408"/>
      <c r="O15" s="3">
        <f t="shared" si="1"/>
        <v>174610.63867432124</v>
      </c>
      <c r="P15" s="17">
        <f>O15/$O$223</f>
        <v>0.21455820880113402</v>
      </c>
      <c r="Q15" s="17">
        <f t="shared" si="2"/>
        <v>0.63258662018151102</v>
      </c>
      <c r="R15" s="407">
        <v>30359920.599999994</v>
      </c>
      <c r="S15" s="407"/>
      <c r="T15" s="407"/>
      <c r="U15" s="407"/>
      <c r="V15" s="407"/>
      <c r="W15" s="407">
        <v>1099541.3732</v>
      </c>
      <c r="X15" s="3">
        <f t="shared" si="3"/>
        <v>924930.7345256788</v>
      </c>
      <c r="Y15" s="17">
        <f t="shared" si="7"/>
        <v>0.84119684540277817</v>
      </c>
      <c r="Z15" s="17">
        <f t="shared" si="8"/>
        <v>0.15880315459722183</v>
      </c>
      <c r="AA15" s="108">
        <f t="shared" si="4"/>
        <v>0.10045675084081854</v>
      </c>
      <c r="AB15" s="108">
        <f t="shared" si="9"/>
        <v>5.8346403756403292E-2</v>
      </c>
      <c r="AC15" s="135">
        <f>'Can O&amp;M price indexes'!N24</f>
        <v>1.2315008058407915</v>
      </c>
      <c r="AG15" s="239"/>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row>
    <row r="16" spans="2:69" x14ac:dyDescent="0.2">
      <c r="B16" s="2">
        <f t="shared" si="5"/>
        <v>1</v>
      </c>
      <c r="C16" s="2">
        <f t="shared" si="6"/>
        <v>0</v>
      </c>
      <c r="D16" s="2" t="s">
        <v>31</v>
      </c>
      <c r="F16" s="14">
        <v>2012</v>
      </c>
      <c r="G16" s="422">
        <v>6422</v>
      </c>
      <c r="H16" s="423">
        <f t="shared" si="10"/>
        <v>0</v>
      </c>
      <c r="I16" s="407"/>
      <c r="J16" s="17">
        <f t="shared" si="0"/>
        <v>0.50587583314491136</v>
      </c>
      <c r="K16" s="408">
        <v>115567.00224012346</v>
      </c>
      <c r="L16" s="408"/>
      <c r="M16" s="408">
        <v>62567.194327740981</v>
      </c>
      <c r="N16" s="408"/>
      <c r="O16" s="3">
        <f t="shared" si="1"/>
        <v>178134.19656786445</v>
      </c>
      <c r="P16" s="17">
        <f>O16/$O$224</f>
        <v>0.21589497078606987</v>
      </c>
      <c r="Q16" s="17">
        <f t="shared" si="2"/>
        <v>0.64876370998252131</v>
      </c>
      <c r="R16" s="407">
        <v>28458915.099999998</v>
      </c>
      <c r="S16" s="407"/>
      <c r="T16" s="407"/>
      <c r="U16" s="407"/>
      <c r="V16" s="407"/>
      <c r="W16" s="407">
        <v>941858.41798999987</v>
      </c>
      <c r="X16" s="3">
        <f t="shared" si="3"/>
        <v>763724.22142213536</v>
      </c>
      <c r="Y16" s="17">
        <f t="shared" si="7"/>
        <v>0.81086945429864399</v>
      </c>
      <c r="Z16" s="17">
        <f t="shared" si="8"/>
        <v>0.18913054570135601</v>
      </c>
      <c r="AA16" s="108">
        <f t="shared" si="4"/>
        <v>0.12270103450023052</v>
      </c>
      <c r="AB16" s="108">
        <f t="shared" si="9"/>
        <v>6.6429511201125488E-2</v>
      </c>
      <c r="AC16" s="135">
        <f>'Can O&amp;M price indexes'!N25</f>
        <v>1.2501652753742629</v>
      </c>
      <c r="AG16" s="239"/>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row>
    <row r="17" spans="2:69" x14ac:dyDescent="0.2">
      <c r="B17" s="2">
        <f t="shared" si="5"/>
        <v>1</v>
      </c>
      <c r="C17" s="2">
        <f t="shared" si="6"/>
        <v>0</v>
      </c>
      <c r="D17" s="2" t="s">
        <v>31</v>
      </c>
      <c r="F17" s="14">
        <v>2013</v>
      </c>
      <c r="G17" s="422">
        <v>6433</v>
      </c>
      <c r="H17" s="423">
        <f t="shared" si="10"/>
        <v>1.7113967615410227E-3</v>
      </c>
      <c r="I17" s="407"/>
      <c r="J17" s="17">
        <f t="shared" si="0"/>
        <v>0.53852233098882973</v>
      </c>
      <c r="K17" s="408">
        <v>121788.66470000001</v>
      </c>
      <c r="L17" s="408"/>
      <c r="M17" s="408">
        <v>60795.025349999996</v>
      </c>
      <c r="N17" s="408"/>
      <c r="O17" s="3">
        <f t="shared" si="1"/>
        <v>182583.69005</v>
      </c>
      <c r="P17" s="17">
        <f>O17/$O$225</f>
        <v>0.21686012394197948</v>
      </c>
      <c r="Q17" s="17">
        <f t="shared" si="2"/>
        <v>0.66702926568440224</v>
      </c>
      <c r="R17" s="407">
        <v>30347392</v>
      </c>
      <c r="S17" s="407"/>
      <c r="T17" s="407"/>
      <c r="U17" s="407"/>
      <c r="V17" s="407"/>
      <c r="W17" s="407">
        <v>1127001.4199100002</v>
      </c>
      <c r="X17" s="3">
        <f>W17-O17</f>
        <v>944417.7298600002</v>
      </c>
      <c r="Y17" s="17">
        <f>X17/W17</f>
        <v>0.83799160602248335</v>
      </c>
      <c r="Z17" s="17">
        <f>1-Y17</f>
        <v>0.16200839397751665</v>
      </c>
      <c r="AA17" s="108">
        <f>Z17*Q17</f>
        <v>0.10806434006953226</v>
      </c>
      <c r="AB17" s="108">
        <f>Z17-AA17</f>
        <v>5.3944053907984388E-2</v>
      </c>
      <c r="AC17" s="135">
        <f>'Can O&amp;M price indexes'!N26</f>
        <v>1.2704232442229755</v>
      </c>
      <c r="AG17" s="239"/>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row>
    <row r="18" spans="2:69" x14ac:dyDescent="0.2">
      <c r="B18" s="2">
        <f t="shared" si="5"/>
        <v>1</v>
      </c>
      <c r="C18" s="2">
        <f t="shared" si="6"/>
        <v>0</v>
      </c>
      <c r="D18" s="2" t="s">
        <v>31</v>
      </c>
      <c r="F18" s="14">
        <v>2014</v>
      </c>
      <c r="G18" s="422">
        <v>6433</v>
      </c>
      <c r="H18" s="423">
        <f t="shared" si="10"/>
        <v>0</v>
      </c>
      <c r="I18" s="420">
        <f>LN(G18/G6)/12</f>
        <v>-5.8220378188773006E-3</v>
      </c>
      <c r="J18" s="17">
        <f t="shared" si="0"/>
        <v>0.54345920400446612</v>
      </c>
      <c r="K18" s="408">
        <v>119906.76461697961</v>
      </c>
      <c r="L18" s="420">
        <f>LN(K18/K6)/12</f>
        <v>3.5064439519643498E-2</v>
      </c>
      <c r="M18" s="408">
        <v>68112.906172668241</v>
      </c>
      <c r="N18" s="420">
        <f>LN(M18/M6)/12</f>
        <v>4.6113864224590094E-2</v>
      </c>
      <c r="O18" s="421">
        <f t="shared" si="1"/>
        <v>188019.70585408737</v>
      </c>
      <c r="P18" s="17">
        <f>O18/$O$226</f>
        <v>0.2172792437525399</v>
      </c>
      <c r="Q18" s="17">
        <f>K18/O18</f>
        <v>0.63773509309727994</v>
      </c>
      <c r="R18" s="407">
        <v>30625600</v>
      </c>
      <c r="S18" s="420">
        <f>LN(R18/R6)/12</f>
        <v>-8.6558252500076264E-3</v>
      </c>
      <c r="T18" s="420"/>
      <c r="U18" s="420"/>
      <c r="V18" s="420"/>
      <c r="W18" s="407">
        <v>1310091.24125</v>
      </c>
      <c r="X18" s="3">
        <f>W18-O18</f>
        <v>1122071.5353959126</v>
      </c>
      <c r="Y18" s="17">
        <f>X18/W18</f>
        <v>0.85648350287824859</v>
      </c>
      <c r="Z18" s="17">
        <f>1-Y18</f>
        <v>0.14351649712175141</v>
      </c>
      <c r="AA18" s="108">
        <f>Z18*Q18</f>
        <v>9.1525506652935643E-2</v>
      </c>
      <c r="AB18" s="108">
        <f>Z18-AA18</f>
        <v>5.1990990468815765E-2</v>
      </c>
      <c r="AC18" s="135">
        <f>'Can O&amp;M price indexes'!N27</f>
        <v>1.296459337573129</v>
      </c>
      <c r="AG18" s="239"/>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row>
    <row r="19" spans="2:69" x14ac:dyDescent="0.2">
      <c r="B19" s="69">
        <f>'OPG hydro peers'!B5</f>
        <v>1</v>
      </c>
      <c r="C19" s="69">
        <f t="shared" ref="C19:C56" si="11">IF(D19=D18,C18,C18+1)</f>
        <v>1</v>
      </c>
      <c r="D19" s="69" t="str">
        <f>'OPG hydro peers'!D5</f>
        <v>PG&amp;E</v>
      </c>
      <c r="F19" s="70">
        <v>2002</v>
      </c>
      <c r="G19" s="372">
        <v>3578</v>
      </c>
      <c r="H19" s="372"/>
      <c r="I19" s="372"/>
      <c r="J19" s="76">
        <f t="shared" ref="J19:J31" si="12">R19/(G19*8760)</f>
        <v>0.32144884007034363</v>
      </c>
      <c r="K19" s="71"/>
      <c r="L19" s="71"/>
      <c r="M19" s="71"/>
      <c r="N19" s="71"/>
      <c r="O19" s="372">
        <v>73604.922000000006</v>
      </c>
      <c r="P19" s="76">
        <f>O19/$O$214</f>
        <v>0.14226046707498319</v>
      </c>
      <c r="Q19" s="76"/>
      <c r="R19" s="372">
        <v>10075261</v>
      </c>
      <c r="S19" s="372"/>
      <c r="T19" s="372">
        <v>10612535</v>
      </c>
      <c r="U19" s="427">
        <f>R19-T19</f>
        <v>-537274</v>
      </c>
      <c r="V19" s="112">
        <f>U19/R19</f>
        <v>-5.3326062719367767E-2</v>
      </c>
      <c r="W19" s="372">
        <v>301224.89378184068</v>
      </c>
      <c r="X19" s="71">
        <f t="shared" ref="X19:X29" si="13">W19-O19</f>
        <v>227619.97178184066</v>
      </c>
      <c r="Y19" s="76">
        <f>X19/W19</f>
        <v>0.75564794437836968</v>
      </c>
      <c r="Z19" s="76">
        <f>1-Y19</f>
        <v>0.24435205562163032</v>
      </c>
      <c r="AA19" s="126">
        <f t="shared" ref="AA19:AA29" si="14">Z19*Q19</f>
        <v>0</v>
      </c>
      <c r="AB19" s="126">
        <f>Z19-AA19</f>
        <v>0.24435205562163032</v>
      </c>
      <c r="AC19" s="126">
        <f>AA19-AB19</f>
        <v>-0.24435205562163032</v>
      </c>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row>
    <row r="20" spans="2:69" x14ac:dyDescent="0.2">
      <c r="B20" s="69">
        <f t="shared" ref="B20:B31" si="15">B19</f>
        <v>1</v>
      </c>
      <c r="C20" s="69">
        <f t="shared" si="11"/>
        <v>1</v>
      </c>
      <c r="D20" s="69" t="str">
        <f t="shared" ref="D20:D31" si="16">D19</f>
        <v>PG&amp;E</v>
      </c>
      <c r="F20" s="70">
        <v>2003</v>
      </c>
      <c r="G20" s="372">
        <v>3578</v>
      </c>
      <c r="H20" s="372"/>
      <c r="I20" s="372"/>
      <c r="J20" s="76">
        <f t="shared" si="12"/>
        <v>0.36710018862097393</v>
      </c>
      <c r="K20" s="71"/>
      <c r="L20" s="71"/>
      <c r="M20" s="71"/>
      <c r="N20" s="71"/>
      <c r="O20" s="372">
        <v>86473.644480000003</v>
      </c>
      <c r="P20" s="76">
        <f>O20/$O$215</f>
        <v>0.15418522841789986</v>
      </c>
      <c r="Q20" s="76"/>
      <c r="R20" s="372">
        <v>11506124</v>
      </c>
      <c r="S20" s="372"/>
      <c r="T20" s="372">
        <v>12152297</v>
      </c>
      <c r="U20" s="427">
        <f t="shared" ref="U20:U83" si="17">R20-T20</f>
        <v>-646173</v>
      </c>
      <c r="V20" s="112">
        <f t="shared" ref="V20:V83" si="18">U20/R20</f>
        <v>-5.6159050606442273E-2</v>
      </c>
      <c r="W20" s="372">
        <v>464670.22848413984</v>
      </c>
      <c r="X20" s="71">
        <f t="shared" si="13"/>
        <v>378196.58400413982</v>
      </c>
      <c r="Y20" s="76">
        <f t="shared" ref="Y20:Y29" si="19">X20/W20</f>
        <v>0.81390319590283033</v>
      </c>
      <c r="Z20" s="76">
        <f t="shared" ref="Z20:Z29" si="20">1-Y20</f>
        <v>0.18609680409716967</v>
      </c>
      <c r="AA20" s="126">
        <f t="shared" si="14"/>
        <v>0</v>
      </c>
      <c r="AB20" s="126">
        <f t="shared" ref="AB20:AC29" si="21">Z20-AA20</f>
        <v>0.18609680409716967</v>
      </c>
      <c r="AC20" s="126">
        <f t="shared" si="21"/>
        <v>-0.18609680409716967</v>
      </c>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row>
    <row r="21" spans="2:69" x14ac:dyDescent="0.2">
      <c r="B21" s="69">
        <f t="shared" si="15"/>
        <v>1</v>
      </c>
      <c r="C21" s="69">
        <f t="shared" si="11"/>
        <v>1</v>
      </c>
      <c r="D21" s="69" t="str">
        <f t="shared" si="16"/>
        <v>PG&amp;E</v>
      </c>
      <c r="F21" s="70">
        <v>2004</v>
      </c>
      <c r="G21" s="372">
        <v>3578</v>
      </c>
      <c r="H21" s="372"/>
      <c r="I21" s="372"/>
      <c r="J21" s="76">
        <f t="shared" si="12"/>
        <v>0.33835061295435576</v>
      </c>
      <c r="K21" s="71"/>
      <c r="L21" s="71"/>
      <c r="M21" s="71"/>
      <c r="N21" s="71"/>
      <c r="O21" s="372">
        <v>85405.054919999995</v>
      </c>
      <c r="P21" s="76">
        <f>O21/$O$216</f>
        <v>0.14218002539031435</v>
      </c>
      <c r="Q21" s="76"/>
      <c r="R21" s="372">
        <v>10605018</v>
      </c>
      <c r="S21" s="372"/>
      <c r="T21" s="372">
        <v>11190628</v>
      </c>
      <c r="U21" s="427">
        <f t="shared" si="17"/>
        <v>-585610</v>
      </c>
      <c r="V21" s="112">
        <f t="shared" si="18"/>
        <v>-5.5220085435027079E-2</v>
      </c>
      <c r="W21" s="372">
        <v>462125.81081457803</v>
      </c>
      <c r="X21" s="71">
        <f t="shared" si="13"/>
        <v>376720.75589457806</v>
      </c>
      <c r="Y21" s="76">
        <f t="shared" si="19"/>
        <v>0.81519090057000165</v>
      </c>
      <c r="Z21" s="76">
        <f t="shared" si="20"/>
        <v>0.18480909942999835</v>
      </c>
      <c r="AA21" s="126">
        <f t="shared" si="14"/>
        <v>0</v>
      </c>
      <c r="AB21" s="126">
        <f t="shared" si="21"/>
        <v>0.18480909942999835</v>
      </c>
      <c r="AC21" s="126">
        <f t="shared" si="21"/>
        <v>-0.18480909942999835</v>
      </c>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row>
    <row r="22" spans="2:69" x14ac:dyDescent="0.2">
      <c r="B22" s="69">
        <f t="shared" si="15"/>
        <v>1</v>
      </c>
      <c r="C22" s="69">
        <f t="shared" si="11"/>
        <v>1</v>
      </c>
      <c r="D22" s="69" t="str">
        <f t="shared" si="16"/>
        <v>PG&amp;E</v>
      </c>
      <c r="F22" s="70">
        <v>2005</v>
      </c>
      <c r="G22" s="372">
        <v>3578</v>
      </c>
      <c r="H22" s="372"/>
      <c r="I22" s="372"/>
      <c r="J22" s="76">
        <f t="shared" si="12"/>
        <v>0.38865060000102092</v>
      </c>
      <c r="K22" s="71"/>
      <c r="L22" s="71"/>
      <c r="M22" s="71"/>
      <c r="N22" s="71"/>
      <c r="O22" s="372">
        <v>84426.819930000012</v>
      </c>
      <c r="P22" s="76">
        <f>O22/$O$217</f>
        <v>0.1351514918397782</v>
      </c>
      <c r="Q22" s="76"/>
      <c r="R22" s="372">
        <v>12181584.578</v>
      </c>
      <c r="S22" s="372"/>
      <c r="T22" s="372">
        <v>12817318</v>
      </c>
      <c r="U22" s="427">
        <f t="shared" si="17"/>
        <v>-635733.42200000025</v>
      </c>
      <c r="V22" s="112">
        <f t="shared" si="18"/>
        <v>-5.2188072736295561E-2</v>
      </c>
      <c r="W22" s="372">
        <v>752856.29426901357</v>
      </c>
      <c r="X22" s="71">
        <f t="shared" si="13"/>
        <v>668429.47433901357</v>
      </c>
      <c r="Y22" s="76">
        <f t="shared" si="19"/>
        <v>0.88785798754332756</v>
      </c>
      <c r="Z22" s="76">
        <f t="shared" si="20"/>
        <v>0.11214201245667244</v>
      </c>
      <c r="AA22" s="126">
        <f t="shared" si="14"/>
        <v>0</v>
      </c>
      <c r="AB22" s="126">
        <f t="shared" si="21"/>
        <v>0.11214201245667244</v>
      </c>
      <c r="AC22" s="126">
        <f>AA22-AB22</f>
        <v>-0.11214201245667244</v>
      </c>
      <c r="AE22" s="424"/>
      <c r="AF22" s="424"/>
      <c r="AG22" s="424"/>
      <c r="AH22" s="424"/>
      <c r="AI22" s="424"/>
      <c r="AJ22" s="424"/>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row>
    <row r="23" spans="2:69" x14ac:dyDescent="0.2">
      <c r="B23" s="69">
        <f t="shared" si="15"/>
        <v>1</v>
      </c>
      <c r="C23" s="69">
        <f t="shared" si="11"/>
        <v>1</v>
      </c>
      <c r="D23" s="69" t="str">
        <f t="shared" si="16"/>
        <v>PG&amp;E</v>
      </c>
      <c r="F23" s="70">
        <v>2006</v>
      </c>
      <c r="G23" s="372">
        <v>3578</v>
      </c>
      <c r="H23" s="372"/>
      <c r="I23" s="372"/>
      <c r="J23" s="76">
        <f t="shared" si="12"/>
        <v>0.45769552341044079</v>
      </c>
      <c r="K23" s="71"/>
      <c r="L23" s="71"/>
      <c r="M23" s="71"/>
      <c r="N23" s="71"/>
      <c r="O23" s="372">
        <v>76536.088260000004</v>
      </c>
      <c r="P23" s="76">
        <f>O23/$O$218</f>
        <v>0.11519013497751955</v>
      </c>
      <c r="Q23" s="76"/>
      <c r="R23" s="372">
        <v>14345678.945</v>
      </c>
      <c r="S23" s="372"/>
      <c r="T23" s="372">
        <v>14999572</v>
      </c>
      <c r="U23" s="427">
        <f t="shared" si="17"/>
        <v>-653893.0549999997</v>
      </c>
      <c r="V23" s="112">
        <f t="shared" si="18"/>
        <v>-4.5581185631364325E-2</v>
      </c>
      <c r="W23" s="372">
        <v>707159.9691468383</v>
      </c>
      <c r="X23" s="71">
        <f t="shared" si="13"/>
        <v>630623.88088683831</v>
      </c>
      <c r="Y23" s="76">
        <f t="shared" si="19"/>
        <v>0.89176976695621235</v>
      </c>
      <c r="Z23" s="76">
        <f t="shared" si="20"/>
        <v>0.10823023304378765</v>
      </c>
      <c r="AA23" s="126">
        <f t="shared" si="14"/>
        <v>0</v>
      </c>
      <c r="AB23" s="126">
        <f t="shared" si="21"/>
        <v>0.10823023304378765</v>
      </c>
      <c r="AC23" s="126">
        <f t="shared" si="21"/>
        <v>-0.10823023304378765</v>
      </c>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row>
    <row r="24" spans="2:69" x14ac:dyDescent="0.2">
      <c r="B24" s="69">
        <f t="shared" si="15"/>
        <v>1</v>
      </c>
      <c r="C24" s="69">
        <f t="shared" si="11"/>
        <v>1</v>
      </c>
      <c r="D24" s="69" t="str">
        <f t="shared" si="16"/>
        <v>PG&amp;E</v>
      </c>
      <c r="F24" s="70">
        <v>2007</v>
      </c>
      <c r="G24" s="372">
        <v>3578</v>
      </c>
      <c r="H24" s="372"/>
      <c r="I24" s="372"/>
      <c r="J24" s="76">
        <f t="shared" si="12"/>
        <v>0.25835035293051656</v>
      </c>
      <c r="K24" s="71"/>
      <c r="L24" s="71"/>
      <c r="M24" s="71"/>
      <c r="N24" s="71"/>
      <c r="O24" s="372">
        <v>101325.88094999999</v>
      </c>
      <c r="P24" s="76">
        <f>O24/$O$219</f>
        <v>0.14048206522045673</v>
      </c>
      <c r="Q24" s="76"/>
      <c r="R24" s="372">
        <v>8097547.4500000002</v>
      </c>
      <c r="S24" s="372"/>
      <c r="T24" s="372">
        <v>8534739</v>
      </c>
      <c r="U24" s="427">
        <f t="shared" si="17"/>
        <v>-437191.54999999981</v>
      </c>
      <c r="V24" s="112">
        <f t="shared" si="18"/>
        <v>-5.3990612923175869E-2</v>
      </c>
      <c r="W24" s="372">
        <v>508252.9828766897</v>
      </c>
      <c r="X24" s="71">
        <f t="shared" si="13"/>
        <v>406927.10192668973</v>
      </c>
      <c r="Y24" s="76">
        <f t="shared" si="19"/>
        <v>0.80063888582315856</v>
      </c>
      <c r="Z24" s="76">
        <f t="shared" si="20"/>
        <v>0.19936111417684144</v>
      </c>
      <c r="AA24" s="126">
        <f t="shared" si="14"/>
        <v>0</v>
      </c>
      <c r="AB24" s="126">
        <f t="shared" si="21"/>
        <v>0.19936111417684144</v>
      </c>
      <c r="AC24" s="126">
        <f t="shared" si="21"/>
        <v>-0.19936111417684144</v>
      </c>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row>
    <row r="25" spans="2:69" x14ac:dyDescent="0.2">
      <c r="B25" s="69">
        <f t="shared" si="15"/>
        <v>1</v>
      </c>
      <c r="C25" s="69">
        <f t="shared" si="11"/>
        <v>1</v>
      </c>
      <c r="D25" s="69" t="str">
        <f t="shared" si="16"/>
        <v>PG&amp;E</v>
      </c>
      <c r="F25" s="70">
        <v>2008</v>
      </c>
      <c r="G25" s="372">
        <v>3578</v>
      </c>
      <c r="H25" s="372"/>
      <c r="I25" s="372"/>
      <c r="J25" s="76">
        <f t="shared" si="12"/>
        <v>0.25987209858062077</v>
      </c>
      <c r="K25" s="71"/>
      <c r="L25" s="71"/>
      <c r="M25" s="71"/>
      <c r="N25" s="71"/>
      <c r="O25" s="372">
        <v>109375.75125</v>
      </c>
      <c r="P25" s="76">
        <f>O25/$O$220</f>
        <v>0.13992968942779588</v>
      </c>
      <c r="Q25" s="76"/>
      <c r="R25" s="372">
        <v>8145243.9499999993</v>
      </c>
      <c r="S25" s="372"/>
      <c r="T25" s="372">
        <v>8576891</v>
      </c>
      <c r="U25" s="427">
        <f t="shared" si="17"/>
        <v>-431647.05000000075</v>
      </c>
      <c r="V25" s="112">
        <f t="shared" si="18"/>
        <v>-5.2993753489728297E-2</v>
      </c>
      <c r="W25" s="372">
        <v>725807.2825708458</v>
      </c>
      <c r="X25" s="71">
        <f t="shared" si="13"/>
        <v>616431.53132084582</v>
      </c>
      <c r="Y25" s="76">
        <f t="shared" si="19"/>
        <v>0.84930469302734801</v>
      </c>
      <c r="Z25" s="76">
        <f t="shared" si="20"/>
        <v>0.15069530697265199</v>
      </c>
      <c r="AA25" s="126">
        <f t="shared" si="14"/>
        <v>0</v>
      </c>
      <c r="AB25" s="126">
        <f t="shared" si="21"/>
        <v>0.15069530697265199</v>
      </c>
      <c r="AC25" s="126">
        <f t="shared" si="21"/>
        <v>-0.15069530697265199</v>
      </c>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row>
    <row r="26" spans="2:69" x14ac:dyDescent="0.2">
      <c r="B26" s="69">
        <f t="shared" si="15"/>
        <v>1</v>
      </c>
      <c r="C26" s="69">
        <f t="shared" si="11"/>
        <v>1</v>
      </c>
      <c r="D26" s="69" t="str">
        <f t="shared" si="16"/>
        <v>PG&amp;E</v>
      </c>
      <c r="F26" s="70">
        <v>2009</v>
      </c>
      <c r="G26" s="372">
        <v>3578</v>
      </c>
      <c r="H26" s="372"/>
      <c r="I26" s="372"/>
      <c r="J26" s="76">
        <f t="shared" si="12"/>
        <v>0.28482653717160422</v>
      </c>
      <c r="K26" s="71"/>
      <c r="L26" s="71"/>
      <c r="M26" s="71"/>
      <c r="N26" s="71"/>
      <c r="O26" s="372">
        <v>109621.27032</v>
      </c>
      <c r="P26" s="76">
        <f>O26/$O$221</f>
        <v>0.14022129575259079</v>
      </c>
      <c r="Q26" s="76"/>
      <c r="R26" s="372">
        <v>8927397.9059999995</v>
      </c>
      <c r="S26" s="372"/>
      <c r="T26" s="372">
        <v>9399117</v>
      </c>
      <c r="U26" s="427">
        <f t="shared" si="17"/>
        <v>-471719.09400000051</v>
      </c>
      <c r="V26" s="112">
        <f t="shared" si="18"/>
        <v>-5.2839483460568465E-2</v>
      </c>
      <c r="W26" s="372">
        <v>363178.47272082069</v>
      </c>
      <c r="X26" s="71">
        <f t="shared" si="13"/>
        <v>253557.20240082068</v>
      </c>
      <c r="Y26" s="76">
        <f t="shared" si="19"/>
        <v>0.69816143148917553</v>
      </c>
      <c r="Z26" s="76">
        <f t="shared" si="20"/>
        <v>0.30183856851082447</v>
      </c>
      <c r="AA26" s="126">
        <f t="shared" si="14"/>
        <v>0</v>
      </c>
      <c r="AB26" s="126">
        <f t="shared" si="21"/>
        <v>0.30183856851082447</v>
      </c>
      <c r="AC26" s="126">
        <f t="shared" si="21"/>
        <v>-0.30183856851082447</v>
      </c>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row>
    <row r="27" spans="2:69" x14ac:dyDescent="0.2">
      <c r="B27" s="69">
        <f t="shared" si="15"/>
        <v>1</v>
      </c>
      <c r="C27" s="69">
        <f t="shared" si="11"/>
        <v>1</v>
      </c>
      <c r="D27" s="69" t="str">
        <f t="shared" si="16"/>
        <v>PG&amp;E</v>
      </c>
      <c r="F27" s="70">
        <v>2010</v>
      </c>
      <c r="G27" s="372">
        <v>3578</v>
      </c>
      <c r="H27" s="372"/>
      <c r="I27" s="372"/>
      <c r="J27" s="76">
        <f t="shared" si="12"/>
        <v>0.33455051350720155</v>
      </c>
      <c r="K27" s="71"/>
      <c r="L27" s="71"/>
      <c r="M27" s="71"/>
      <c r="N27" s="71"/>
      <c r="O27" s="372">
        <v>111628.14201</v>
      </c>
      <c r="P27" s="76">
        <f>O27/$O$222</f>
        <v>0.13283441593372974</v>
      </c>
      <c r="Q27" s="76"/>
      <c r="R27" s="372">
        <v>10485910.419</v>
      </c>
      <c r="S27" s="372"/>
      <c r="T27" s="372">
        <v>10960100</v>
      </c>
      <c r="U27" s="427">
        <f t="shared" si="17"/>
        <v>-474189.58100000024</v>
      </c>
      <c r="V27" s="112">
        <f t="shared" si="18"/>
        <v>-4.5221593743619053E-2</v>
      </c>
      <c r="W27" s="372">
        <v>436466.27453160833</v>
      </c>
      <c r="X27" s="71">
        <f t="shared" si="13"/>
        <v>324838.13252160832</v>
      </c>
      <c r="Y27" s="76">
        <f t="shared" si="19"/>
        <v>0.74424566450227292</v>
      </c>
      <c r="Z27" s="76">
        <f t="shared" si="20"/>
        <v>0.25575433549772708</v>
      </c>
      <c r="AA27" s="126">
        <f t="shared" si="14"/>
        <v>0</v>
      </c>
      <c r="AB27" s="126">
        <f t="shared" si="21"/>
        <v>0.25575433549772708</v>
      </c>
      <c r="AC27" s="126">
        <f t="shared" si="21"/>
        <v>-0.25575433549772708</v>
      </c>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row>
    <row r="28" spans="2:69" x14ac:dyDescent="0.2">
      <c r="B28" s="69">
        <f t="shared" si="15"/>
        <v>1</v>
      </c>
      <c r="C28" s="69">
        <f t="shared" si="11"/>
        <v>1</v>
      </c>
      <c r="D28" s="69" t="str">
        <f t="shared" si="16"/>
        <v>PG&amp;E</v>
      </c>
      <c r="F28" s="70">
        <v>2011</v>
      </c>
      <c r="G28" s="372">
        <v>3578</v>
      </c>
      <c r="H28" s="372"/>
      <c r="I28" s="372"/>
      <c r="J28" s="76">
        <f t="shared" si="12"/>
        <v>0.38434691190583758</v>
      </c>
      <c r="K28" s="71"/>
      <c r="L28" s="71"/>
      <c r="M28" s="71"/>
      <c r="N28" s="71"/>
      <c r="O28" s="372">
        <v>116739.90147</v>
      </c>
      <c r="P28" s="76">
        <f>O28/$O$223</f>
        <v>0.14344775521806527</v>
      </c>
      <c r="Q28" s="76"/>
      <c r="R28" s="372">
        <v>12046692.877</v>
      </c>
      <c r="S28" s="372"/>
      <c r="T28" s="372">
        <v>12102919</v>
      </c>
      <c r="U28" s="427">
        <f t="shared" si="17"/>
        <v>-56226.122999999672</v>
      </c>
      <c r="V28" s="112">
        <f t="shared" si="18"/>
        <v>-4.6673492529512974E-3</v>
      </c>
      <c r="W28" s="372">
        <v>432483.2787308151</v>
      </c>
      <c r="X28" s="71">
        <f t="shared" si="13"/>
        <v>315743.37726081512</v>
      </c>
      <c r="Y28" s="76">
        <f t="shared" si="19"/>
        <v>0.73007071669316292</v>
      </c>
      <c r="Z28" s="76">
        <f t="shared" si="20"/>
        <v>0.26992928330683708</v>
      </c>
      <c r="AA28" s="126">
        <f t="shared" si="14"/>
        <v>0</v>
      </c>
      <c r="AB28" s="126">
        <f t="shared" si="21"/>
        <v>0.26992928330683708</v>
      </c>
      <c r="AC28" s="126">
        <f t="shared" si="21"/>
        <v>-0.26992928330683708</v>
      </c>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row>
    <row r="29" spans="2:69" x14ac:dyDescent="0.2">
      <c r="B29" s="69">
        <f t="shared" si="15"/>
        <v>1</v>
      </c>
      <c r="C29" s="69">
        <f t="shared" si="11"/>
        <v>1</v>
      </c>
      <c r="D29" s="69" t="str">
        <f t="shared" si="16"/>
        <v>PG&amp;E</v>
      </c>
      <c r="F29" s="70">
        <v>2012</v>
      </c>
      <c r="G29" s="372">
        <v>3578</v>
      </c>
      <c r="H29" s="372"/>
      <c r="I29" s="372"/>
      <c r="J29" s="76">
        <f t="shared" si="12"/>
        <v>0.2512329407451932</v>
      </c>
      <c r="K29" s="71"/>
      <c r="L29" s="71"/>
      <c r="M29" s="71"/>
      <c r="N29" s="71"/>
      <c r="O29" s="372">
        <v>143940.51261000001</v>
      </c>
      <c r="P29" s="76">
        <f>O29/$O$224</f>
        <v>0.17445293134958914</v>
      </c>
      <c r="Q29" s="76"/>
      <c r="R29" s="372">
        <v>7874464.4069999997</v>
      </c>
      <c r="S29" s="372"/>
      <c r="T29" s="372">
        <v>8259055</v>
      </c>
      <c r="U29" s="427">
        <f t="shared" si="17"/>
        <v>-384590.59300000034</v>
      </c>
      <c r="V29" s="112">
        <f t="shared" si="18"/>
        <v>-4.8840222410316415E-2</v>
      </c>
      <c r="W29" s="372">
        <v>267121.38942654611</v>
      </c>
      <c r="X29" s="71">
        <f t="shared" si="13"/>
        <v>123180.87681654611</v>
      </c>
      <c r="Y29" s="76">
        <f t="shared" si="19"/>
        <v>0.46114194404644926</v>
      </c>
      <c r="Z29" s="76">
        <f t="shared" si="20"/>
        <v>0.53885805595355074</v>
      </c>
      <c r="AA29" s="126">
        <f t="shared" si="14"/>
        <v>0</v>
      </c>
      <c r="AB29" s="126">
        <f t="shared" si="21"/>
        <v>0.53885805595355074</v>
      </c>
      <c r="AC29" s="126">
        <f t="shared" si="21"/>
        <v>-0.53885805595355074</v>
      </c>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row>
    <row r="30" spans="2:69" x14ac:dyDescent="0.2">
      <c r="B30" s="69">
        <f t="shared" si="15"/>
        <v>1</v>
      </c>
      <c r="C30" s="69">
        <f t="shared" si="11"/>
        <v>1</v>
      </c>
      <c r="D30" s="69" t="str">
        <f t="shared" si="16"/>
        <v>PG&amp;E</v>
      </c>
      <c r="F30" s="70">
        <v>2013</v>
      </c>
      <c r="G30" s="372">
        <v>3566.6399999999994</v>
      </c>
      <c r="H30" s="372"/>
      <c r="I30" s="372"/>
      <c r="J30" s="76">
        <f t="shared" si="12"/>
        <v>0.24348539589004228</v>
      </c>
      <c r="K30" s="69"/>
      <c r="L30" s="69"/>
      <c r="M30" s="69"/>
      <c r="N30" s="69"/>
      <c r="O30" s="372">
        <v>144260.64716999998</v>
      </c>
      <c r="P30" s="76">
        <f>O30/$O$225</f>
        <v>0.17134269669250979</v>
      </c>
      <c r="Q30" s="69"/>
      <c r="R30" s="372">
        <v>7607400.8310000002</v>
      </c>
      <c r="S30" s="372"/>
      <c r="T30" s="372">
        <v>7960208</v>
      </c>
      <c r="U30" s="427">
        <f t="shared" si="17"/>
        <v>-352807.16899999976</v>
      </c>
      <c r="V30" s="112">
        <f t="shared" si="18"/>
        <v>-4.6376834458665285E-2</v>
      </c>
      <c r="W30" s="372">
        <v>358378.3002459819</v>
      </c>
      <c r="X30" s="71">
        <f>W30-O30</f>
        <v>214117.65307598191</v>
      </c>
      <c r="Y30" s="76">
        <f>X30/W30</f>
        <v>0.5974626614642039</v>
      </c>
      <c r="Z30" s="76">
        <f>1-Y30</f>
        <v>0.4025373385357961</v>
      </c>
      <c r="AA30" s="126">
        <f>Z30*Q30</f>
        <v>0</v>
      </c>
      <c r="AB30" s="126">
        <f t="shared" ref="AB30:AC32" si="22">Z30-AA30</f>
        <v>0.4025373385357961</v>
      </c>
      <c r="AC30" s="126">
        <f t="shared" si="22"/>
        <v>-0.4025373385357961</v>
      </c>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row>
    <row r="31" spans="2:69" x14ac:dyDescent="0.2">
      <c r="B31" s="69">
        <f t="shared" si="15"/>
        <v>1</v>
      </c>
      <c r="C31" s="69">
        <f t="shared" si="11"/>
        <v>1</v>
      </c>
      <c r="D31" s="69" t="str">
        <f t="shared" si="16"/>
        <v>PG&amp;E</v>
      </c>
      <c r="F31" s="70">
        <v>2014</v>
      </c>
      <c r="G31" s="372">
        <v>3567.2699999999995</v>
      </c>
      <c r="H31" s="372"/>
      <c r="I31" s="372"/>
      <c r="J31" s="76">
        <f t="shared" si="12"/>
        <v>0.18368446082088305</v>
      </c>
      <c r="K31" s="69"/>
      <c r="L31" s="69"/>
      <c r="M31" s="69"/>
      <c r="N31" s="69"/>
      <c r="O31" s="372">
        <v>139709.88456000001</v>
      </c>
      <c r="P31" s="76">
        <f>O31/$O$226</f>
        <v>0.1614514708660871</v>
      </c>
      <c r="Q31" s="69"/>
      <c r="R31" s="372">
        <v>5740008.1030000001</v>
      </c>
      <c r="S31" s="372"/>
      <c r="T31" s="372">
        <v>5961316</v>
      </c>
      <c r="U31" s="427">
        <f t="shared" si="17"/>
        <v>-221307.89699999988</v>
      </c>
      <c r="V31" s="112">
        <f t="shared" si="18"/>
        <v>-3.8555328325117502E-2</v>
      </c>
      <c r="W31" s="372">
        <v>325449.49358964752</v>
      </c>
      <c r="X31" s="71">
        <f>W31-O31</f>
        <v>185739.60902964752</v>
      </c>
      <c r="Y31" s="76">
        <f>X31/W31</f>
        <v>0.57071715485242913</v>
      </c>
      <c r="Z31" s="76">
        <f>1-Y31</f>
        <v>0.42928284514757087</v>
      </c>
      <c r="AA31" s="126">
        <f>Z31*Q31</f>
        <v>0</v>
      </c>
      <c r="AB31" s="126">
        <f t="shared" si="22"/>
        <v>0.42928284514757087</v>
      </c>
      <c r="AC31" s="126">
        <f t="shared" si="22"/>
        <v>-0.42928284514757087</v>
      </c>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row>
    <row r="32" spans="2:69" x14ac:dyDescent="0.2">
      <c r="B32" s="72">
        <f>'OPG hydro peers'!B6</f>
        <v>1</v>
      </c>
      <c r="C32" s="72">
        <f t="shared" si="11"/>
        <v>2</v>
      </c>
      <c r="D32" s="72" t="str">
        <f>'OPG hydro peers'!D6</f>
        <v>Duke</v>
      </c>
      <c r="F32" s="73">
        <v>2002</v>
      </c>
      <c r="G32" s="373">
        <v>2753.99</v>
      </c>
      <c r="H32" s="373"/>
      <c r="I32" s="373"/>
      <c r="J32" s="75">
        <f t="shared" ref="J32:J44" si="23">R32/(G32*8760)</f>
        <v>0.20556245947245891</v>
      </c>
      <c r="K32" s="74"/>
      <c r="L32" s="74"/>
      <c r="M32" s="74"/>
      <c r="N32" s="74"/>
      <c r="O32" s="373">
        <v>27024.336149999999</v>
      </c>
      <c r="P32" s="75">
        <f>O32/$O$214</f>
        <v>5.2231489126370552E-2</v>
      </c>
      <c r="Q32" s="75"/>
      <c r="R32" s="373">
        <v>4959184.55</v>
      </c>
      <c r="S32" s="373"/>
      <c r="T32" s="373">
        <v>4210571</v>
      </c>
      <c r="U32" s="427">
        <f t="shared" si="17"/>
        <v>748613.54999999981</v>
      </c>
      <c r="V32" s="494">
        <f t="shared" si="18"/>
        <v>0.15095496899787686</v>
      </c>
      <c r="W32" s="373">
        <v>31966.46617444171</v>
      </c>
      <c r="X32" s="74">
        <f t="shared" ref="X32:X42" si="24">W32-O32</f>
        <v>4942.1300244417107</v>
      </c>
      <c r="Y32" s="75">
        <f>AVERAGE($Y$33:$Y$41)</f>
        <v>0.57519639821499535</v>
      </c>
      <c r="Z32" s="75">
        <f>1-Y32</f>
        <v>0.42480360178500465</v>
      </c>
      <c r="AA32" s="125">
        <f t="shared" ref="AA32:AA42" si="25">Z32*Q32</f>
        <v>0</v>
      </c>
      <c r="AB32" s="125">
        <f t="shared" si="22"/>
        <v>0.42480360178500465</v>
      </c>
      <c r="AC32" s="125">
        <f t="shared" si="22"/>
        <v>-0.42480360178500465</v>
      </c>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row>
    <row r="33" spans="2:69" x14ac:dyDescent="0.2">
      <c r="B33" s="72">
        <f t="shared" ref="B33:B44" si="26">B32</f>
        <v>1</v>
      </c>
      <c r="C33" s="72">
        <f t="shared" si="11"/>
        <v>2</v>
      </c>
      <c r="D33" s="72" t="str">
        <f t="shared" ref="D33:D44" si="27">D32</f>
        <v>Duke</v>
      </c>
      <c r="F33" s="73">
        <v>2003</v>
      </c>
      <c r="G33" s="373">
        <v>2753.99</v>
      </c>
      <c r="H33" s="373"/>
      <c r="I33" s="373"/>
      <c r="J33" s="75">
        <f t="shared" si="23"/>
        <v>0.26319881982440724</v>
      </c>
      <c r="K33" s="74"/>
      <c r="L33" s="74"/>
      <c r="M33" s="74"/>
      <c r="N33" s="74"/>
      <c r="O33" s="373">
        <v>29330.415180000004</v>
      </c>
      <c r="P33" s="75">
        <f>O33/$O$215</f>
        <v>5.2297052949654262E-2</v>
      </c>
      <c r="Q33" s="75"/>
      <c r="R33" s="373">
        <v>6349659</v>
      </c>
      <c r="S33" s="373"/>
      <c r="T33" s="373">
        <v>6480742</v>
      </c>
      <c r="U33" s="427">
        <f t="shared" si="17"/>
        <v>-131083</v>
      </c>
      <c r="V33" s="112">
        <f t="shared" si="18"/>
        <v>-2.0644100730448676E-2</v>
      </c>
      <c r="W33" s="373">
        <v>106918.03643717247</v>
      </c>
      <c r="X33" s="74">
        <f t="shared" si="24"/>
        <v>77587.621257172461</v>
      </c>
      <c r="Y33" s="75">
        <f t="shared" ref="Y33:Y44" si="28">X33/W33</f>
        <v>0.72567383242924366</v>
      </c>
      <c r="Z33" s="75">
        <f t="shared" ref="Z33:Z42" si="29">1-Y33</f>
        <v>0.27432616757075634</v>
      </c>
      <c r="AA33" s="125">
        <f t="shared" si="25"/>
        <v>0</v>
      </c>
      <c r="AB33" s="125">
        <f t="shared" ref="AB33:AC42" si="30">Z33-AA33</f>
        <v>0.27432616757075634</v>
      </c>
      <c r="AC33" s="125">
        <f t="shared" si="30"/>
        <v>-0.27432616757075634</v>
      </c>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row>
    <row r="34" spans="2:69" x14ac:dyDescent="0.2">
      <c r="B34" s="72">
        <f t="shared" si="26"/>
        <v>1</v>
      </c>
      <c r="C34" s="72">
        <f t="shared" si="11"/>
        <v>2</v>
      </c>
      <c r="D34" s="72" t="str">
        <f t="shared" si="27"/>
        <v>Duke</v>
      </c>
      <c r="F34" s="73">
        <v>2004</v>
      </c>
      <c r="G34" s="373">
        <v>2753.99</v>
      </c>
      <c r="H34" s="373"/>
      <c r="I34" s="373"/>
      <c r="J34" s="75">
        <f t="shared" si="23"/>
        <v>0.21278313485915937</v>
      </c>
      <c r="K34" s="74"/>
      <c r="L34" s="74"/>
      <c r="M34" s="74"/>
      <c r="N34" s="74"/>
      <c r="O34" s="373">
        <v>35768.658299999996</v>
      </c>
      <c r="P34" s="75">
        <f>O34/$O$216</f>
        <v>5.9546694865253734E-2</v>
      </c>
      <c r="Q34" s="75"/>
      <c r="R34" s="373">
        <v>5133383</v>
      </c>
      <c r="S34" s="373"/>
      <c r="T34" s="373">
        <v>5256104</v>
      </c>
      <c r="U34" s="427">
        <f t="shared" si="17"/>
        <v>-122721</v>
      </c>
      <c r="V34" s="112">
        <f t="shared" si="18"/>
        <v>-2.3906457008954912E-2</v>
      </c>
      <c r="W34" s="373">
        <v>96427.87587150438</v>
      </c>
      <c r="X34" s="74">
        <f t="shared" si="24"/>
        <v>60659.217571504385</v>
      </c>
      <c r="Y34" s="75">
        <f t="shared" si="28"/>
        <v>0.62906309014144657</v>
      </c>
      <c r="Z34" s="75">
        <f t="shared" si="29"/>
        <v>0.37093690985855343</v>
      </c>
      <c r="AA34" s="125">
        <f t="shared" si="25"/>
        <v>0</v>
      </c>
      <c r="AB34" s="125">
        <f t="shared" si="30"/>
        <v>0.37093690985855343</v>
      </c>
      <c r="AC34" s="125">
        <f t="shared" si="30"/>
        <v>-0.37093690985855343</v>
      </c>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row>
    <row r="35" spans="2:69" x14ac:dyDescent="0.2">
      <c r="B35" s="72">
        <f t="shared" si="26"/>
        <v>1</v>
      </c>
      <c r="C35" s="72">
        <f t="shared" si="11"/>
        <v>2</v>
      </c>
      <c r="D35" s="72" t="str">
        <f t="shared" si="27"/>
        <v>Duke</v>
      </c>
      <c r="F35" s="73">
        <v>2005</v>
      </c>
      <c r="G35" s="373">
        <v>2753.99</v>
      </c>
      <c r="H35" s="373"/>
      <c r="I35" s="373"/>
      <c r="J35" s="75">
        <f t="shared" si="23"/>
        <v>0.22907473177024798</v>
      </c>
      <c r="K35" s="74"/>
      <c r="L35" s="74"/>
      <c r="M35" s="74"/>
      <c r="N35" s="74"/>
      <c r="O35" s="373">
        <v>35119.656179999998</v>
      </c>
      <c r="P35" s="75">
        <f>O35/$O$217</f>
        <v>5.6219977603828776E-2</v>
      </c>
      <c r="Q35" s="75"/>
      <c r="R35" s="373">
        <v>5526417</v>
      </c>
      <c r="S35" s="373"/>
      <c r="T35" s="373">
        <v>5662246</v>
      </c>
      <c r="U35" s="427">
        <f t="shared" si="17"/>
        <v>-135829</v>
      </c>
      <c r="V35" s="112">
        <f t="shared" si="18"/>
        <v>-2.4578130821470767E-2</v>
      </c>
      <c r="W35" s="373">
        <v>144514.54546023801</v>
      </c>
      <c r="X35" s="74">
        <f t="shared" si="24"/>
        <v>109394.88928023801</v>
      </c>
      <c r="Y35" s="75">
        <f t="shared" si="28"/>
        <v>0.75698185903603121</v>
      </c>
      <c r="Z35" s="75">
        <f t="shared" si="29"/>
        <v>0.24301814096396879</v>
      </c>
      <c r="AA35" s="125">
        <f t="shared" si="25"/>
        <v>0</v>
      </c>
      <c r="AB35" s="125">
        <f t="shared" si="30"/>
        <v>0.24301814096396879</v>
      </c>
      <c r="AC35" s="125">
        <f t="shared" si="30"/>
        <v>-0.24301814096396879</v>
      </c>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row>
    <row r="36" spans="2:69" x14ac:dyDescent="0.2">
      <c r="B36" s="72">
        <f t="shared" si="26"/>
        <v>1</v>
      </c>
      <c r="C36" s="72">
        <f t="shared" si="11"/>
        <v>2</v>
      </c>
      <c r="D36" s="72" t="str">
        <f t="shared" si="27"/>
        <v>Duke</v>
      </c>
      <c r="F36" s="73">
        <v>2006</v>
      </c>
      <c r="G36" s="373">
        <v>2755.99</v>
      </c>
      <c r="H36" s="373"/>
      <c r="I36" s="373"/>
      <c r="J36" s="75">
        <f t="shared" si="23"/>
        <v>0.18543017988497318</v>
      </c>
      <c r="K36" s="74"/>
      <c r="L36" s="74"/>
      <c r="M36" s="74"/>
      <c r="N36" s="74"/>
      <c r="O36" s="373">
        <v>27186.254580000001</v>
      </c>
      <c r="P36" s="75">
        <f>O36/$O$218</f>
        <v>4.0916493196844879E-2</v>
      </c>
      <c r="Q36" s="75"/>
      <c r="R36" s="373">
        <v>4476743</v>
      </c>
      <c r="S36" s="373"/>
      <c r="T36" s="373">
        <v>4558650</v>
      </c>
      <c r="U36" s="427">
        <f t="shared" si="17"/>
        <v>-81907</v>
      </c>
      <c r="V36" s="112">
        <f t="shared" si="18"/>
        <v>-1.8296113938191225E-2</v>
      </c>
      <c r="W36" s="373">
        <v>82427.668713084277</v>
      </c>
      <c r="X36" s="74">
        <f t="shared" si="24"/>
        <v>55241.414133084276</v>
      </c>
      <c r="Y36" s="75">
        <f t="shared" si="28"/>
        <v>0.67018047453664609</v>
      </c>
      <c r="Z36" s="75">
        <f t="shared" si="29"/>
        <v>0.32981952546335391</v>
      </c>
      <c r="AA36" s="125">
        <f t="shared" si="25"/>
        <v>0</v>
      </c>
      <c r="AB36" s="125">
        <f t="shared" si="30"/>
        <v>0.32981952546335391</v>
      </c>
      <c r="AC36" s="125">
        <f t="shared" si="30"/>
        <v>-0.32981952546335391</v>
      </c>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row>
    <row r="37" spans="2:69" x14ac:dyDescent="0.2">
      <c r="B37" s="72">
        <f t="shared" si="26"/>
        <v>1</v>
      </c>
      <c r="C37" s="72">
        <f t="shared" si="11"/>
        <v>2</v>
      </c>
      <c r="D37" s="72" t="str">
        <f t="shared" si="27"/>
        <v>Duke</v>
      </c>
      <c r="F37" s="73">
        <v>2007</v>
      </c>
      <c r="G37" s="373">
        <v>2755.99</v>
      </c>
      <c r="H37" s="373"/>
      <c r="I37" s="373"/>
      <c r="J37" s="75">
        <f t="shared" si="23"/>
        <v>0.18519122341421834</v>
      </c>
      <c r="K37" s="74"/>
      <c r="L37" s="74"/>
      <c r="M37" s="74"/>
      <c r="N37" s="74"/>
      <c r="O37" s="373">
        <v>32580.783659999997</v>
      </c>
      <c r="P37" s="75">
        <f>O37/$O$219</f>
        <v>4.5171240872963869E-2</v>
      </c>
      <c r="Q37" s="75"/>
      <c r="R37" s="373">
        <v>4470974</v>
      </c>
      <c r="S37" s="373"/>
      <c r="T37" s="373">
        <v>4533857</v>
      </c>
      <c r="U37" s="427">
        <f t="shared" si="17"/>
        <v>-62883</v>
      </c>
      <c r="V37" s="112">
        <f t="shared" si="18"/>
        <v>-1.4064720573190539E-2</v>
      </c>
      <c r="W37" s="373">
        <v>61098.493511384077</v>
      </c>
      <c r="X37" s="74">
        <f t="shared" si="24"/>
        <v>28517.709851384079</v>
      </c>
      <c r="Y37" s="75">
        <f t="shared" si="28"/>
        <v>0.46674980367675617</v>
      </c>
      <c r="Z37" s="75">
        <f t="shared" si="29"/>
        <v>0.53325019632324389</v>
      </c>
      <c r="AA37" s="125">
        <f t="shared" si="25"/>
        <v>0</v>
      </c>
      <c r="AB37" s="125">
        <f t="shared" si="30"/>
        <v>0.53325019632324389</v>
      </c>
      <c r="AC37" s="125">
        <f t="shared" si="30"/>
        <v>-0.53325019632324389</v>
      </c>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row>
    <row r="38" spans="2:69" x14ac:dyDescent="0.2">
      <c r="B38" s="72">
        <f t="shared" si="26"/>
        <v>1</v>
      </c>
      <c r="C38" s="72">
        <f t="shared" si="11"/>
        <v>2</v>
      </c>
      <c r="D38" s="72" t="str">
        <f t="shared" si="27"/>
        <v>Duke</v>
      </c>
      <c r="F38" s="73">
        <v>2008</v>
      </c>
      <c r="G38" s="373">
        <v>2790.99</v>
      </c>
      <c r="H38" s="373"/>
      <c r="I38" s="373"/>
      <c r="J38" s="75">
        <f t="shared" si="23"/>
        <v>0.18891481543487926</v>
      </c>
      <c r="K38" s="74"/>
      <c r="L38" s="74"/>
      <c r="M38" s="74"/>
      <c r="N38" s="74"/>
      <c r="O38" s="373">
        <v>32179.540439999997</v>
      </c>
      <c r="P38" s="75">
        <f>O38/$O$220</f>
        <v>4.1168842711819982E-2</v>
      </c>
      <c r="Q38" s="75"/>
      <c r="R38" s="373">
        <v>4618792</v>
      </c>
      <c r="S38" s="373"/>
      <c r="T38" s="373">
        <v>4686537</v>
      </c>
      <c r="U38" s="427">
        <f t="shared" si="17"/>
        <v>-67745</v>
      </c>
      <c r="V38" s="112">
        <f t="shared" si="18"/>
        <v>-1.4667254987884277E-2</v>
      </c>
      <c r="W38" s="373">
        <v>64948.130180598149</v>
      </c>
      <c r="X38" s="74">
        <f t="shared" si="24"/>
        <v>32768.589740598152</v>
      </c>
      <c r="Y38" s="75">
        <f t="shared" si="28"/>
        <v>0.50453476719776391</v>
      </c>
      <c r="Z38" s="75">
        <f t="shared" si="29"/>
        <v>0.49546523280223609</v>
      </c>
      <c r="AA38" s="125">
        <f t="shared" si="25"/>
        <v>0</v>
      </c>
      <c r="AB38" s="125">
        <f t="shared" si="30"/>
        <v>0.49546523280223609</v>
      </c>
      <c r="AC38" s="125">
        <f t="shared" si="30"/>
        <v>-0.49546523280223609</v>
      </c>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row>
    <row r="39" spans="2:69" x14ac:dyDescent="0.2">
      <c r="B39" s="72">
        <f t="shared" si="26"/>
        <v>1</v>
      </c>
      <c r="C39" s="72">
        <f t="shared" si="11"/>
        <v>2</v>
      </c>
      <c r="D39" s="72" t="str">
        <f t="shared" si="27"/>
        <v>Duke</v>
      </c>
      <c r="F39" s="73">
        <v>2009</v>
      </c>
      <c r="G39" s="373">
        <v>2790.99</v>
      </c>
      <c r="H39" s="373"/>
      <c r="I39" s="373"/>
      <c r="J39" s="75">
        <f t="shared" si="23"/>
        <v>0.19501717373948307</v>
      </c>
      <c r="K39" s="74"/>
      <c r="L39" s="74"/>
      <c r="M39" s="74"/>
      <c r="N39" s="74"/>
      <c r="O39" s="373">
        <v>35977.063349999997</v>
      </c>
      <c r="P39" s="75">
        <f>O39/$O$221</f>
        <v>4.601981372395799E-2</v>
      </c>
      <c r="Q39" s="75"/>
      <c r="R39" s="373">
        <v>4767989</v>
      </c>
      <c r="S39" s="373"/>
      <c r="T39" s="373">
        <v>4875398</v>
      </c>
      <c r="U39" s="427">
        <f t="shared" si="17"/>
        <v>-107409</v>
      </c>
      <c r="V39" s="112">
        <f t="shared" si="18"/>
        <v>-2.2527107340222473E-2</v>
      </c>
      <c r="W39" s="373">
        <v>74688.813029601515</v>
      </c>
      <c r="X39" s="74">
        <f t="shared" si="24"/>
        <v>38711.749679601518</v>
      </c>
      <c r="Y39" s="75">
        <f t="shared" si="28"/>
        <v>0.51830720169911981</v>
      </c>
      <c r="Z39" s="75">
        <f t="shared" si="29"/>
        <v>0.48169279830088019</v>
      </c>
      <c r="AA39" s="125">
        <f t="shared" si="25"/>
        <v>0</v>
      </c>
      <c r="AB39" s="125">
        <f t="shared" si="30"/>
        <v>0.48169279830088019</v>
      </c>
      <c r="AC39" s="125">
        <f t="shared" si="30"/>
        <v>-0.48169279830088019</v>
      </c>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row>
    <row r="40" spans="2:69" x14ac:dyDescent="0.2">
      <c r="B40" s="72">
        <f t="shared" si="26"/>
        <v>1</v>
      </c>
      <c r="C40" s="72">
        <f t="shared" si="11"/>
        <v>2</v>
      </c>
      <c r="D40" s="72" t="str">
        <f t="shared" si="27"/>
        <v>Duke</v>
      </c>
      <c r="F40" s="73">
        <v>2010</v>
      </c>
      <c r="G40" s="373">
        <v>2794.99</v>
      </c>
      <c r="H40" s="373"/>
      <c r="I40" s="373"/>
      <c r="J40" s="75">
        <f t="shared" si="23"/>
        <v>0.19432360553940278</v>
      </c>
      <c r="K40" s="74"/>
      <c r="L40" s="74"/>
      <c r="M40" s="74"/>
      <c r="N40" s="74"/>
      <c r="O40" s="373">
        <v>38734.041930000007</v>
      </c>
      <c r="P40" s="75">
        <f>O40/$O$222</f>
        <v>4.6092443570934151E-2</v>
      </c>
      <c r="Q40" s="75"/>
      <c r="R40" s="373">
        <v>4757841</v>
      </c>
      <c r="S40" s="373"/>
      <c r="T40" s="373">
        <v>4847601</v>
      </c>
      <c r="U40" s="427">
        <f t="shared" si="17"/>
        <v>-89760</v>
      </c>
      <c r="V40" s="112">
        <f t="shared" si="18"/>
        <v>-1.8865699799551938E-2</v>
      </c>
      <c r="W40" s="373">
        <v>82713.400605902309</v>
      </c>
      <c r="X40" s="74">
        <f t="shared" si="24"/>
        <v>43979.358675902302</v>
      </c>
      <c r="Y40" s="75">
        <f t="shared" si="28"/>
        <v>0.53170778076755798</v>
      </c>
      <c r="Z40" s="75">
        <f t="shared" si="29"/>
        <v>0.46829221923244202</v>
      </c>
      <c r="AA40" s="125">
        <f t="shared" si="25"/>
        <v>0</v>
      </c>
      <c r="AB40" s="125">
        <f t="shared" si="30"/>
        <v>0.46829221923244202</v>
      </c>
      <c r="AC40" s="125">
        <f t="shared" si="30"/>
        <v>-0.46829221923244202</v>
      </c>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row>
    <row r="41" spans="2:69" x14ac:dyDescent="0.2">
      <c r="B41" s="72">
        <f t="shared" si="26"/>
        <v>1</v>
      </c>
      <c r="C41" s="72">
        <f t="shared" si="11"/>
        <v>2</v>
      </c>
      <c r="D41" s="72" t="str">
        <f t="shared" si="27"/>
        <v>Duke</v>
      </c>
      <c r="F41" s="73">
        <v>2011</v>
      </c>
      <c r="G41" s="373">
        <v>2846.3199999999997</v>
      </c>
      <c r="H41" s="373"/>
      <c r="I41" s="373"/>
      <c r="J41" s="75">
        <f t="shared" si="23"/>
        <v>0.17070203024948918</v>
      </c>
      <c r="K41" s="74"/>
      <c r="L41" s="74"/>
      <c r="M41" s="74"/>
      <c r="N41" s="74"/>
      <c r="O41" s="373">
        <v>38866.244789999997</v>
      </c>
      <c r="P41" s="75">
        <f>O41/$O$223</f>
        <v>4.7758097263034496E-2</v>
      </c>
      <c r="Q41" s="75"/>
      <c r="R41" s="373">
        <v>4256244</v>
      </c>
      <c r="S41" s="373"/>
      <c r="T41" s="373">
        <v>4347084</v>
      </c>
      <c r="U41" s="427">
        <f t="shared" si="17"/>
        <v>-90840</v>
      </c>
      <c r="V41" s="112">
        <f t="shared" si="18"/>
        <v>-2.1342761364245094E-2</v>
      </c>
      <c r="W41" s="373">
        <v>62043.913529214951</v>
      </c>
      <c r="X41" s="74">
        <f t="shared" si="24"/>
        <v>23177.668739214954</v>
      </c>
      <c r="Y41" s="75">
        <f t="shared" si="28"/>
        <v>0.37356877445039249</v>
      </c>
      <c r="Z41" s="75">
        <f t="shared" si="29"/>
        <v>0.62643122554960751</v>
      </c>
      <c r="AA41" s="125">
        <f t="shared" si="25"/>
        <v>0</v>
      </c>
      <c r="AB41" s="125">
        <f t="shared" si="30"/>
        <v>0.62643122554960751</v>
      </c>
      <c r="AC41" s="125">
        <f t="shared" si="30"/>
        <v>-0.62643122554960751</v>
      </c>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row>
    <row r="42" spans="2:69" x14ac:dyDescent="0.2">
      <c r="B42" s="72">
        <f t="shared" si="26"/>
        <v>1</v>
      </c>
      <c r="C42" s="72">
        <f t="shared" si="11"/>
        <v>2</v>
      </c>
      <c r="D42" s="72" t="str">
        <f t="shared" si="27"/>
        <v>Duke</v>
      </c>
      <c r="F42" s="73">
        <v>2012</v>
      </c>
      <c r="G42" s="373">
        <v>2851.8999999999996</v>
      </c>
      <c r="H42" s="373"/>
      <c r="I42" s="373"/>
      <c r="J42" s="75">
        <f t="shared" si="23"/>
        <v>0.15971059748519814</v>
      </c>
      <c r="K42" s="74"/>
      <c r="L42" s="74"/>
      <c r="M42" s="74"/>
      <c r="N42" s="74"/>
      <c r="O42" s="373">
        <v>39629.096939999996</v>
      </c>
      <c r="P42" s="75">
        <f>O42/$O$224</f>
        <v>4.8029647821608047E-2</v>
      </c>
      <c r="Q42" s="75"/>
      <c r="R42" s="373">
        <v>3989993</v>
      </c>
      <c r="S42" s="373"/>
      <c r="T42" s="373">
        <v>4081585</v>
      </c>
      <c r="U42" s="427">
        <f t="shared" si="17"/>
        <v>-91592</v>
      </c>
      <c r="V42" s="112">
        <f t="shared" si="18"/>
        <v>-2.2955428743859953E-2</v>
      </c>
      <c r="W42" s="373">
        <v>46976.678070155358</v>
      </c>
      <c r="X42" s="74">
        <f t="shared" si="24"/>
        <v>7347.5811301553622</v>
      </c>
      <c r="Y42" s="75">
        <f>AVERAGE($Y$33:$Y$41)</f>
        <v>0.57519639821499535</v>
      </c>
      <c r="Z42" s="75">
        <f t="shared" si="29"/>
        <v>0.42480360178500465</v>
      </c>
      <c r="AA42" s="125">
        <f t="shared" si="25"/>
        <v>0</v>
      </c>
      <c r="AB42" s="125">
        <f t="shared" si="30"/>
        <v>0.42480360178500465</v>
      </c>
      <c r="AC42" s="125">
        <f t="shared" si="30"/>
        <v>-0.42480360178500465</v>
      </c>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row>
    <row r="43" spans="2:69" x14ac:dyDescent="0.2">
      <c r="B43" s="72">
        <f t="shared" si="26"/>
        <v>1</v>
      </c>
      <c r="C43" s="72">
        <f t="shared" si="11"/>
        <v>2</v>
      </c>
      <c r="D43" s="72" t="str">
        <f t="shared" si="27"/>
        <v>Duke</v>
      </c>
      <c r="F43" s="73">
        <v>2013</v>
      </c>
      <c r="G43" s="373">
        <v>2858.27</v>
      </c>
      <c r="H43" s="373"/>
      <c r="I43" s="373"/>
      <c r="J43" s="75">
        <f t="shared" si="23"/>
        <v>0.21003005410256065</v>
      </c>
      <c r="K43" s="72"/>
      <c r="L43" s="72"/>
      <c r="M43" s="72"/>
      <c r="N43" s="72"/>
      <c r="O43" s="373">
        <v>41250.778140000002</v>
      </c>
      <c r="P43" s="75">
        <f>O43/$O$225</f>
        <v>4.8994786213893249E-2</v>
      </c>
      <c r="Q43" s="72"/>
      <c r="R43" s="373">
        <v>5258826</v>
      </c>
      <c r="S43" s="373"/>
      <c r="T43" s="373">
        <v>5487511</v>
      </c>
      <c r="U43" s="427">
        <f t="shared" si="17"/>
        <v>-228685</v>
      </c>
      <c r="V43" s="112">
        <f t="shared" si="18"/>
        <v>-4.3485941539043123E-2</v>
      </c>
      <c r="W43" s="373">
        <v>105619.0259207112</v>
      </c>
      <c r="X43" s="74">
        <f>W43-O43</f>
        <v>64368.247780711194</v>
      </c>
      <c r="Y43" s="75">
        <f t="shared" si="28"/>
        <v>0.60943799869005422</v>
      </c>
      <c r="Z43" s="75">
        <f>1-Y43</f>
        <v>0.39056200130994578</v>
      </c>
      <c r="AA43" s="125">
        <f>Z43*Q43</f>
        <v>0</v>
      </c>
      <c r="AB43" s="125">
        <f t="shared" ref="AB43:AC45" si="31">Z43-AA43</f>
        <v>0.39056200130994578</v>
      </c>
      <c r="AC43" s="125">
        <f t="shared" si="31"/>
        <v>-0.39056200130994578</v>
      </c>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row>
    <row r="44" spans="2:69" x14ac:dyDescent="0.2">
      <c r="B44" s="72">
        <f t="shared" si="26"/>
        <v>1</v>
      </c>
      <c r="C44" s="72">
        <f t="shared" si="11"/>
        <v>2</v>
      </c>
      <c r="D44" s="72" t="str">
        <f t="shared" si="27"/>
        <v>Duke</v>
      </c>
      <c r="F44" s="73">
        <v>2014</v>
      </c>
      <c r="G44" s="373">
        <v>2858.72</v>
      </c>
      <c r="H44" s="373"/>
      <c r="I44" s="373"/>
      <c r="J44" s="75">
        <f t="shared" si="23"/>
        <v>0.20002026803578854</v>
      </c>
      <c r="K44" s="72"/>
      <c r="L44" s="72"/>
      <c r="M44" s="72"/>
      <c r="N44" s="72"/>
      <c r="O44" s="373">
        <v>40395.289770000003</v>
      </c>
      <c r="P44" s="75">
        <f>O44/$O$226</f>
        <v>4.668158570145698E-2</v>
      </c>
      <c r="Q44" s="72"/>
      <c r="R44" s="373">
        <v>5008985</v>
      </c>
      <c r="S44" s="373"/>
      <c r="T44" s="373">
        <v>5090908</v>
      </c>
      <c r="U44" s="427">
        <f t="shared" si="17"/>
        <v>-81923</v>
      </c>
      <c r="V44" s="112">
        <f t="shared" si="18"/>
        <v>-1.6355209688190323E-2</v>
      </c>
      <c r="W44" s="373">
        <v>98705.61970064271</v>
      </c>
      <c r="X44" s="74">
        <f>W44-O44</f>
        <v>58310.329930642707</v>
      </c>
      <c r="Y44" s="75">
        <f t="shared" si="28"/>
        <v>0.5907498489699774</v>
      </c>
      <c r="Z44" s="75">
        <f>1-Y44</f>
        <v>0.4092501510300226</v>
      </c>
      <c r="AA44" s="125">
        <f>Z44*Q44</f>
        <v>0</v>
      </c>
      <c r="AB44" s="125">
        <f t="shared" si="31"/>
        <v>0.4092501510300226</v>
      </c>
      <c r="AC44" s="125">
        <f t="shared" si="31"/>
        <v>-0.4092501510300226</v>
      </c>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row>
    <row r="45" spans="2:69" x14ac:dyDescent="0.2">
      <c r="B45" s="69">
        <f>'OPG hydro peers'!B7</f>
        <v>1</v>
      </c>
      <c r="C45" s="69">
        <f t="shared" si="11"/>
        <v>3</v>
      </c>
      <c r="D45" s="69" t="str">
        <f>'OPG hydro peers'!D7</f>
        <v>VA Electric</v>
      </c>
      <c r="F45" s="70">
        <v>2002</v>
      </c>
      <c r="G45" s="372">
        <v>1718</v>
      </c>
      <c r="H45" s="372"/>
      <c r="I45" s="372"/>
      <c r="J45" s="76">
        <f t="shared" ref="J45:J57" si="32">R45/(G45*8760)</f>
        <v>0.18245623827217589</v>
      </c>
      <c r="K45" s="71"/>
      <c r="L45" s="71"/>
      <c r="M45" s="71"/>
      <c r="N45" s="71"/>
      <c r="O45" s="372">
        <v>7381.7035500000002</v>
      </c>
      <c r="P45" s="76">
        <f>O45/$O$214</f>
        <v>1.4267043103884568E-2</v>
      </c>
      <c r="Q45" s="76"/>
      <c r="R45" s="372">
        <v>2745908</v>
      </c>
      <c r="S45" s="372"/>
      <c r="T45" s="427">
        <v>2749828</v>
      </c>
      <c r="U45" s="427">
        <f t="shared" si="17"/>
        <v>-3920</v>
      </c>
      <c r="V45" s="112">
        <f t="shared" si="18"/>
        <v>-1.4275787826831781E-3</v>
      </c>
      <c r="W45" s="372">
        <v>10366.585716138656</v>
      </c>
      <c r="X45" s="71">
        <f t="shared" ref="X45:X55" si="33">W45-O45</f>
        <v>2984.8821661386555</v>
      </c>
      <c r="Y45" s="76">
        <f>X45/W45</f>
        <v>0.28793300396791238</v>
      </c>
      <c r="Z45" s="76">
        <f>1-Y45</f>
        <v>0.71206699603208756</v>
      </c>
      <c r="AA45" s="126">
        <f t="shared" ref="AA45:AA55" si="34">Z45*Q45</f>
        <v>0</v>
      </c>
      <c r="AB45" s="126">
        <f t="shared" si="31"/>
        <v>0.71206699603208756</v>
      </c>
      <c r="AC45" s="126">
        <f t="shared" si="31"/>
        <v>-0.71206699603208756</v>
      </c>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row>
    <row r="46" spans="2:69" x14ac:dyDescent="0.2">
      <c r="B46" s="69">
        <f t="shared" ref="B46:B57" si="35">B45</f>
        <v>1</v>
      </c>
      <c r="C46" s="69">
        <f t="shared" si="11"/>
        <v>3</v>
      </c>
      <c r="D46" s="69" t="str">
        <f t="shared" ref="D46:D57" si="36">D45</f>
        <v>VA Electric</v>
      </c>
      <c r="F46" s="70">
        <v>2003</v>
      </c>
      <c r="G46" s="372">
        <v>2379</v>
      </c>
      <c r="H46" s="372"/>
      <c r="I46" s="372"/>
      <c r="J46" s="76">
        <f t="shared" si="32"/>
        <v>0.16910116295362196</v>
      </c>
      <c r="K46" s="71"/>
      <c r="L46" s="71"/>
      <c r="M46" s="71"/>
      <c r="N46" s="71"/>
      <c r="O46" s="372">
        <v>7403.8337100000008</v>
      </c>
      <c r="P46" s="76">
        <f>O46/$O$215</f>
        <v>1.3201268416627478E-2</v>
      </c>
      <c r="Q46" s="76"/>
      <c r="R46" s="372">
        <v>3524075</v>
      </c>
      <c r="S46" s="372"/>
      <c r="T46" s="427">
        <v>3546773</v>
      </c>
      <c r="U46" s="427">
        <f t="shared" si="17"/>
        <v>-22698</v>
      </c>
      <c r="V46" s="112">
        <f t="shared" si="18"/>
        <v>-6.4408390854337663E-3</v>
      </c>
      <c r="W46" s="372">
        <v>60446.254734085582</v>
      </c>
      <c r="X46" s="71">
        <f t="shared" si="33"/>
        <v>53042.421024085583</v>
      </c>
      <c r="Y46" s="76">
        <f t="shared" ref="Y46:Y55" si="37">X46/W46</f>
        <v>0.87751377248150686</v>
      </c>
      <c r="Z46" s="76">
        <f t="shared" ref="Z46:Z55" si="38">1-Y46</f>
        <v>0.12248622751849314</v>
      </c>
      <c r="AA46" s="126">
        <f t="shared" si="34"/>
        <v>0</v>
      </c>
      <c r="AB46" s="126">
        <f t="shared" ref="AB46:AC55" si="39">Z46-AA46</f>
        <v>0.12248622751849314</v>
      </c>
      <c r="AC46" s="126">
        <f t="shared" si="39"/>
        <v>-0.12248622751849314</v>
      </c>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row>
    <row r="47" spans="2:69" x14ac:dyDescent="0.2">
      <c r="B47" s="69">
        <f t="shared" si="35"/>
        <v>1</v>
      </c>
      <c r="C47" s="69">
        <f t="shared" si="11"/>
        <v>3</v>
      </c>
      <c r="D47" s="69" t="str">
        <f t="shared" si="36"/>
        <v>VA Electric</v>
      </c>
      <c r="F47" s="70">
        <v>2004</v>
      </c>
      <c r="G47" s="372">
        <v>2379</v>
      </c>
      <c r="H47" s="372"/>
      <c r="I47" s="372"/>
      <c r="J47" s="76">
        <f t="shared" si="32"/>
        <v>0.14741137732941012</v>
      </c>
      <c r="K47" s="71"/>
      <c r="L47" s="71"/>
      <c r="M47" s="71"/>
      <c r="N47" s="71"/>
      <c r="O47" s="372">
        <v>7900.3182900000002</v>
      </c>
      <c r="P47" s="76">
        <f>O47/$O$216</f>
        <v>1.3152236200959577E-2</v>
      </c>
      <c r="Q47" s="76"/>
      <c r="R47" s="372">
        <v>3072059</v>
      </c>
      <c r="S47" s="372"/>
      <c r="T47" s="427">
        <v>3100868</v>
      </c>
      <c r="U47" s="427">
        <f t="shared" si="17"/>
        <v>-28809</v>
      </c>
      <c r="V47" s="112">
        <f t="shared" si="18"/>
        <v>-9.3777495809813545E-3</v>
      </c>
      <c r="W47" s="372">
        <v>41524.247009285973</v>
      </c>
      <c r="X47" s="71">
        <f t="shared" si="33"/>
        <v>33623.92871928597</v>
      </c>
      <c r="Y47" s="76">
        <f t="shared" si="37"/>
        <v>0.80974204569601771</v>
      </c>
      <c r="Z47" s="76">
        <f t="shared" si="38"/>
        <v>0.19025795430398229</v>
      </c>
      <c r="AA47" s="126">
        <f t="shared" si="34"/>
        <v>0</v>
      </c>
      <c r="AB47" s="126">
        <f t="shared" si="39"/>
        <v>0.19025795430398229</v>
      </c>
      <c r="AC47" s="126">
        <f t="shared" si="39"/>
        <v>-0.19025795430398229</v>
      </c>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row>
    <row r="48" spans="2:69" x14ac:dyDescent="0.2">
      <c r="B48" s="69">
        <f t="shared" si="35"/>
        <v>1</v>
      </c>
      <c r="C48" s="69">
        <f t="shared" si="11"/>
        <v>3</v>
      </c>
      <c r="D48" s="69" t="str">
        <f t="shared" si="36"/>
        <v>VA Electric</v>
      </c>
      <c r="F48" s="70">
        <v>2005</v>
      </c>
      <c r="G48" s="372">
        <v>2379</v>
      </c>
      <c r="H48" s="372"/>
      <c r="I48" s="372"/>
      <c r="J48" s="76">
        <f t="shared" si="32"/>
        <v>0.12423647939255396</v>
      </c>
      <c r="K48" s="71"/>
      <c r="L48" s="71"/>
      <c r="M48" s="71"/>
      <c r="N48" s="71"/>
      <c r="O48" s="372">
        <v>9619.5188099999996</v>
      </c>
      <c r="P48" s="76">
        <f>O48/$O$217</f>
        <v>1.5399044036364757E-2</v>
      </c>
      <c r="Q48" s="76"/>
      <c r="R48" s="372">
        <v>2589093.2000000002</v>
      </c>
      <c r="S48" s="372"/>
      <c r="T48" s="427">
        <v>2540025</v>
      </c>
      <c r="U48" s="427">
        <f t="shared" si="17"/>
        <v>49068.200000000186</v>
      </c>
      <c r="V48" s="112">
        <f t="shared" si="18"/>
        <v>1.8951886320662456E-2</v>
      </c>
      <c r="W48" s="372">
        <v>43432.628896851224</v>
      </c>
      <c r="X48" s="71">
        <f t="shared" si="33"/>
        <v>33813.110086851222</v>
      </c>
      <c r="Y48" s="76">
        <f t="shared" si="37"/>
        <v>0.77851861482192264</v>
      </c>
      <c r="Z48" s="76">
        <f t="shared" si="38"/>
        <v>0.22148138517807736</v>
      </c>
      <c r="AA48" s="126">
        <f t="shared" si="34"/>
        <v>0</v>
      </c>
      <c r="AB48" s="126">
        <f t="shared" si="39"/>
        <v>0.22148138517807736</v>
      </c>
      <c r="AC48" s="126">
        <f t="shared" si="39"/>
        <v>-0.22148138517807736</v>
      </c>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row>
    <row r="49" spans="2:69" x14ac:dyDescent="0.2">
      <c r="B49" s="69">
        <f t="shared" si="35"/>
        <v>1</v>
      </c>
      <c r="C49" s="69">
        <f t="shared" si="11"/>
        <v>3</v>
      </c>
      <c r="D49" s="69" t="str">
        <f t="shared" si="36"/>
        <v>VA Electric</v>
      </c>
      <c r="F49" s="70">
        <v>2006</v>
      </c>
      <c r="G49" s="372">
        <v>2379</v>
      </c>
      <c r="H49" s="372"/>
      <c r="I49" s="372"/>
      <c r="J49" s="76">
        <f t="shared" si="32"/>
        <v>0.14059361690284664</v>
      </c>
      <c r="K49" s="71"/>
      <c r="L49" s="71"/>
      <c r="M49" s="71"/>
      <c r="N49" s="71"/>
      <c r="O49" s="372">
        <v>10982.850810000002</v>
      </c>
      <c r="P49" s="76">
        <f>O49/$O$218</f>
        <v>1.6529667193653098E-2</v>
      </c>
      <c r="Q49" s="76"/>
      <c r="R49" s="372">
        <v>2929976.6</v>
      </c>
      <c r="S49" s="372"/>
      <c r="T49" s="427">
        <v>3149240</v>
      </c>
      <c r="U49" s="427">
        <f t="shared" si="17"/>
        <v>-219263.39999999991</v>
      </c>
      <c r="V49" s="112">
        <f t="shared" si="18"/>
        <v>-7.4834522569224585E-2</v>
      </c>
      <c r="W49" s="372">
        <v>32011.665064379726</v>
      </c>
      <c r="X49" s="71">
        <f t="shared" si="33"/>
        <v>21028.814254379722</v>
      </c>
      <c r="Y49" s="76">
        <f t="shared" si="37"/>
        <v>0.6569109795472361</v>
      </c>
      <c r="Z49" s="76">
        <f t="shared" si="38"/>
        <v>0.3430890204527639</v>
      </c>
      <c r="AA49" s="126">
        <f t="shared" si="34"/>
        <v>0</v>
      </c>
      <c r="AB49" s="126">
        <f t="shared" si="39"/>
        <v>0.3430890204527639</v>
      </c>
      <c r="AC49" s="126">
        <f t="shared" si="39"/>
        <v>-0.3430890204527639</v>
      </c>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row>
    <row r="50" spans="2:69" x14ac:dyDescent="0.2">
      <c r="B50" s="69">
        <f t="shared" si="35"/>
        <v>1</v>
      </c>
      <c r="C50" s="69">
        <f t="shared" si="11"/>
        <v>3</v>
      </c>
      <c r="D50" s="69" t="str">
        <f t="shared" si="36"/>
        <v>VA Electric</v>
      </c>
      <c r="F50" s="70">
        <v>2007</v>
      </c>
      <c r="G50" s="372">
        <v>1694</v>
      </c>
      <c r="H50" s="372"/>
      <c r="I50" s="372"/>
      <c r="J50" s="76">
        <f t="shared" si="32"/>
        <v>0.18650304863256295</v>
      </c>
      <c r="K50" s="71"/>
      <c r="L50" s="71"/>
      <c r="M50" s="71"/>
      <c r="N50" s="71"/>
      <c r="O50" s="372">
        <v>11785.71117</v>
      </c>
      <c r="P50" s="76">
        <f>O50/$O$219</f>
        <v>1.6340159391956471E-2</v>
      </c>
      <c r="Q50" s="76"/>
      <c r="R50" s="372">
        <v>2767600.8</v>
      </c>
      <c r="S50" s="372"/>
      <c r="T50" s="427">
        <v>2641566</v>
      </c>
      <c r="U50" s="427">
        <f t="shared" si="17"/>
        <v>126034.79999999981</v>
      </c>
      <c r="V50" s="112">
        <f t="shared" si="18"/>
        <v>4.553937114051991E-2</v>
      </c>
      <c r="W50" s="372">
        <v>33715.080391950483</v>
      </c>
      <c r="X50" s="71">
        <f t="shared" si="33"/>
        <v>21929.369221950481</v>
      </c>
      <c r="Y50" s="76">
        <f t="shared" si="37"/>
        <v>0.65043206087641847</v>
      </c>
      <c r="Z50" s="76">
        <f t="shared" si="38"/>
        <v>0.34956793912358153</v>
      </c>
      <c r="AA50" s="126">
        <f t="shared" si="34"/>
        <v>0</v>
      </c>
      <c r="AB50" s="126">
        <f t="shared" si="39"/>
        <v>0.34956793912358153</v>
      </c>
      <c r="AC50" s="126">
        <f t="shared" si="39"/>
        <v>-0.34956793912358153</v>
      </c>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row>
    <row r="51" spans="2:69" x14ac:dyDescent="0.2">
      <c r="B51" s="69">
        <f t="shared" si="35"/>
        <v>1</v>
      </c>
      <c r="C51" s="69">
        <f t="shared" si="11"/>
        <v>3</v>
      </c>
      <c r="D51" s="69" t="str">
        <f t="shared" si="36"/>
        <v>VA Electric</v>
      </c>
      <c r="F51" s="70">
        <v>2008</v>
      </c>
      <c r="G51" s="372">
        <v>1950</v>
      </c>
      <c r="H51" s="372"/>
      <c r="I51" s="372"/>
      <c r="J51" s="76">
        <f t="shared" si="32"/>
        <v>0.11967088162978574</v>
      </c>
      <c r="K51" s="71"/>
      <c r="L51" s="71"/>
      <c r="M51" s="71"/>
      <c r="N51" s="71"/>
      <c r="O51" s="372">
        <v>12597.277470000001</v>
      </c>
      <c r="P51" s="76">
        <f>O51/$O$220</f>
        <v>1.6116306437830026E-2</v>
      </c>
      <c r="Q51" s="76"/>
      <c r="R51" s="372">
        <v>2044218</v>
      </c>
      <c r="S51" s="372"/>
      <c r="T51" s="427">
        <v>2047325</v>
      </c>
      <c r="U51" s="427">
        <f t="shared" si="17"/>
        <v>-3107</v>
      </c>
      <c r="V51" s="112">
        <f t="shared" si="18"/>
        <v>-1.5198966059392883E-3</v>
      </c>
      <c r="W51" s="372">
        <v>30817.60441221339</v>
      </c>
      <c r="X51" s="71">
        <f t="shared" si="33"/>
        <v>18220.326942213389</v>
      </c>
      <c r="Y51" s="76">
        <f t="shared" si="37"/>
        <v>0.59123112551189905</v>
      </c>
      <c r="Z51" s="76">
        <f t="shared" si="38"/>
        <v>0.40876887448810095</v>
      </c>
      <c r="AA51" s="126">
        <f t="shared" si="34"/>
        <v>0</v>
      </c>
      <c r="AB51" s="126">
        <f t="shared" si="39"/>
        <v>0.40876887448810095</v>
      </c>
      <c r="AC51" s="126">
        <f t="shared" si="39"/>
        <v>-0.40876887448810095</v>
      </c>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row>
    <row r="52" spans="2:69" x14ac:dyDescent="0.2">
      <c r="B52" s="69">
        <f t="shared" si="35"/>
        <v>1</v>
      </c>
      <c r="C52" s="69">
        <f t="shared" si="11"/>
        <v>3</v>
      </c>
      <c r="D52" s="69" t="str">
        <f t="shared" si="36"/>
        <v>VA Electric</v>
      </c>
      <c r="F52" s="70">
        <v>2009</v>
      </c>
      <c r="G52" s="372">
        <v>2080</v>
      </c>
      <c r="H52" s="372"/>
      <c r="I52" s="372"/>
      <c r="J52" s="76">
        <f t="shared" si="32"/>
        <v>0.15440930145767476</v>
      </c>
      <c r="K52" s="71"/>
      <c r="L52" s="71"/>
      <c r="M52" s="71"/>
      <c r="N52" s="71"/>
      <c r="O52" s="372">
        <v>12129.21819</v>
      </c>
      <c r="P52" s="76">
        <f>O52/$O$221</f>
        <v>1.5515006221902848E-2</v>
      </c>
      <c r="Q52" s="76"/>
      <c r="R52" s="372">
        <v>2813461</v>
      </c>
      <c r="S52" s="372"/>
      <c r="T52" s="427">
        <v>3502318</v>
      </c>
      <c r="U52" s="427">
        <f t="shared" si="17"/>
        <v>-688857</v>
      </c>
      <c r="V52" s="112">
        <f t="shared" si="18"/>
        <v>-0.24484327310739334</v>
      </c>
      <c r="W52" s="372">
        <v>32547.346347249768</v>
      </c>
      <c r="X52" s="71">
        <f t="shared" si="33"/>
        <v>20418.128157249768</v>
      </c>
      <c r="Y52" s="76">
        <f t="shared" si="37"/>
        <v>0.62733618708595851</v>
      </c>
      <c r="Z52" s="76">
        <f t="shared" si="38"/>
        <v>0.37266381291404149</v>
      </c>
      <c r="AA52" s="126">
        <f t="shared" si="34"/>
        <v>0</v>
      </c>
      <c r="AB52" s="126">
        <f t="shared" si="39"/>
        <v>0.37266381291404149</v>
      </c>
      <c r="AC52" s="126">
        <f t="shared" si="39"/>
        <v>-0.37266381291404149</v>
      </c>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row>
    <row r="53" spans="2:69" x14ac:dyDescent="0.2">
      <c r="B53" s="69">
        <f t="shared" si="35"/>
        <v>1</v>
      </c>
      <c r="C53" s="69">
        <f t="shared" si="11"/>
        <v>3</v>
      </c>
      <c r="D53" s="69" t="str">
        <f t="shared" si="36"/>
        <v>VA Electric</v>
      </c>
      <c r="F53" s="70">
        <v>2010</v>
      </c>
      <c r="G53" s="372">
        <v>2080</v>
      </c>
      <c r="H53" s="372"/>
      <c r="I53" s="372"/>
      <c r="J53" s="76">
        <f t="shared" si="32"/>
        <v>0.17907203525641024</v>
      </c>
      <c r="K53" s="71"/>
      <c r="L53" s="71"/>
      <c r="M53" s="71"/>
      <c r="N53" s="71"/>
      <c r="O53" s="372">
        <v>10527.637650000001</v>
      </c>
      <c r="P53" s="76">
        <f>O53/$O$222</f>
        <v>1.2527598983725961E-2</v>
      </c>
      <c r="Q53" s="76"/>
      <c r="R53" s="372">
        <v>3262835.7399999998</v>
      </c>
      <c r="S53" s="372"/>
      <c r="T53" s="427">
        <v>4103871</v>
      </c>
      <c r="U53" s="427">
        <f t="shared" si="17"/>
        <v>-841035.26000000024</v>
      </c>
      <c r="V53" s="112">
        <f t="shared" si="18"/>
        <v>-0.25776205945322894</v>
      </c>
      <c r="W53" s="372">
        <v>42458.519756243048</v>
      </c>
      <c r="X53" s="71">
        <f t="shared" si="33"/>
        <v>31930.882106243047</v>
      </c>
      <c r="Y53" s="76">
        <f t="shared" si="37"/>
        <v>0.75204887710547119</v>
      </c>
      <c r="Z53" s="76">
        <f t="shared" si="38"/>
        <v>0.24795112289452881</v>
      </c>
      <c r="AA53" s="126">
        <f t="shared" si="34"/>
        <v>0</v>
      </c>
      <c r="AB53" s="126">
        <f t="shared" si="39"/>
        <v>0.24795112289452881</v>
      </c>
      <c r="AC53" s="126">
        <f t="shared" si="39"/>
        <v>-0.24795112289452881</v>
      </c>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row>
    <row r="54" spans="2:69" x14ac:dyDescent="0.2">
      <c r="B54" s="69">
        <f t="shared" si="35"/>
        <v>1</v>
      </c>
      <c r="C54" s="69">
        <f t="shared" si="11"/>
        <v>3</v>
      </c>
      <c r="D54" s="69" t="str">
        <f t="shared" si="36"/>
        <v>VA Electric</v>
      </c>
      <c r="F54" s="70">
        <v>2011</v>
      </c>
      <c r="G54" s="372">
        <v>2080</v>
      </c>
      <c r="H54" s="372"/>
      <c r="I54" s="372"/>
      <c r="J54" s="76">
        <f t="shared" si="32"/>
        <v>0.16115412001668425</v>
      </c>
      <c r="K54" s="71"/>
      <c r="L54" s="71"/>
      <c r="M54" s="71"/>
      <c r="N54" s="71"/>
      <c r="O54" s="372">
        <v>11333.77965</v>
      </c>
      <c r="P54" s="76">
        <f>O54/$O$223</f>
        <v>1.3926731378529487E-2</v>
      </c>
      <c r="Q54" s="76"/>
      <c r="R54" s="372">
        <v>2936356.99</v>
      </c>
      <c r="S54" s="372"/>
      <c r="T54" s="427">
        <v>3184446</v>
      </c>
      <c r="U54" s="427">
        <f t="shared" si="17"/>
        <v>-248089.00999999978</v>
      </c>
      <c r="V54" s="112">
        <f t="shared" si="18"/>
        <v>-8.4488708574906535E-2</v>
      </c>
      <c r="W54" s="372">
        <v>21335.973696428639</v>
      </c>
      <c r="X54" s="71">
        <f t="shared" si="33"/>
        <v>10002.194046428638</v>
      </c>
      <c r="Y54" s="76">
        <f t="shared" si="37"/>
        <v>0.46879482458786842</v>
      </c>
      <c r="Z54" s="76">
        <f t="shared" si="38"/>
        <v>0.53120517541213164</v>
      </c>
      <c r="AA54" s="126">
        <f t="shared" si="34"/>
        <v>0</v>
      </c>
      <c r="AB54" s="126">
        <f t="shared" si="39"/>
        <v>0.53120517541213164</v>
      </c>
      <c r="AC54" s="126">
        <f t="shared" si="39"/>
        <v>-0.53120517541213164</v>
      </c>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row>
    <row r="55" spans="2:69" x14ac:dyDescent="0.2">
      <c r="B55" s="69">
        <f t="shared" si="35"/>
        <v>1</v>
      </c>
      <c r="C55" s="69">
        <f t="shared" si="11"/>
        <v>3</v>
      </c>
      <c r="D55" s="69" t="str">
        <f t="shared" si="36"/>
        <v>VA Electric</v>
      </c>
      <c r="F55" s="70">
        <v>2012</v>
      </c>
      <c r="G55" s="372">
        <v>2122</v>
      </c>
      <c r="H55" s="372"/>
      <c r="I55" s="372"/>
      <c r="J55" s="76">
        <f t="shared" si="32"/>
        <v>0.24182379582886826</v>
      </c>
      <c r="K55" s="71"/>
      <c r="L55" s="71"/>
      <c r="M55" s="71"/>
      <c r="N55" s="71"/>
      <c r="O55" s="372">
        <v>10517.659889999999</v>
      </c>
      <c r="P55" s="76">
        <f>O55/$O$224</f>
        <v>1.2747186775136058E-2</v>
      </c>
      <c r="Q55" s="76"/>
      <c r="R55" s="372">
        <v>4495194.83</v>
      </c>
      <c r="S55" s="372"/>
      <c r="T55" s="427">
        <v>3079915</v>
      </c>
      <c r="U55" s="427">
        <f t="shared" si="17"/>
        <v>1415279.83</v>
      </c>
      <c r="V55" s="112">
        <f t="shared" si="18"/>
        <v>0.31484282295279292</v>
      </c>
      <c r="W55" s="372">
        <v>13773.14417815394</v>
      </c>
      <c r="X55" s="71">
        <f t="shared" si="33"/>
        <v>3255.4842881539407</v>
      </c>
      <c r="Y55" s="76">
        <f t="shared" si="37"/>
        <v>0.2363646416565926</v>
      </c>
      <c r="Z55" s="76">
        <f t="shared" si="38"/>
        <v>0.76363535834340746</v>
      </c>
      <c r="AA55" s="126">
        <f t="shared" si="34"/>
        <v>0</v>
      </c>
      <c r="AB55" s="126">
        <f t="shared" si="39"/>
        <v>0.76363535834340746</v>
      </c>
      <c r="AC55" s="126">
        <f t="shared" si="39"/>
        <v>-0.76363535834340746</v>
      </c>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row>
    <row r="56" spans="2:69" x14ac:dyDescent="0.2">
      <c r="B56" s="69">
        <f t="shared" si="35"/>
        <v>1</v>
      </c>
      <c r="C56" s="69">
        <f t="shared" si="11"/>
        <v>3</v>
      </c>
      <c r="D56" s="69" t="str">
        <f t="shared" si="36"/>
        <v>VA Electric</v>
      </c>
      <c r="F56" s="70">
        <v>2013</v>
      </c>
      <c r="G56" s="372">
        <v>2122</v>
      </c>
      <c r="H56" s="372"/>
      <c r="I56" s="372"/>
      <c r="J56" s="76">
        <f t="shared" si="32"/>
        <v>0.15774044097710871</v>
      </c>
      <c r="K56" s="69"/>
      <c r="L56" s="69"/>
      <c r="M56" s="69"/>
      <c r="N56" s="69"/>
      <c r="O56" s="375">
        <v>10047.65229</v>
      </c>
      <c r="P56" s="76">
        <f>O56/$O$225</f>
        <v>1.1933897931072699E-2</v>
      </c>
      <c r="Q56" s="69"/>
      <c r="R56" s="372">
        <v>2932192.89</v>
      </c>
      <c r="S56" s="372"/>
      <c r="T56" s="427">
        <v>3446004</v>
      </c>
      <c r="U56" s="427">
        <f t="shared" si="17"/>
        <v>-513811.10999999987</v>
      </c>
      <c r="V56" s="494">
        <f t="shared" si="18"/>
        <v>-0.17523100603384925</v>
      </c>
      <c r="W56" s="372">
        <v>29588.882999244845</v>
      </c>
      <c r="X56" s="71">
        <f>W56-O56</f>
        <v>19541.230709244846</v>
      </c>
      <c r="Y56" s="76">
        <f>X56/W56</f>
        <v>0.66042475174691695</v>
      </c>
      <c r="Z56" s="76">
        <f>1-Y56</f>
        <v>0.33957524825308305</v>
      </c>
      <c r="AA56" s="126">
        <f>Z56*Q56</f>
        <v>0</v>
      </c>
      <c r="AB56" s="126">
        <f t="shared" ref="AB56:AC58" si="40">Z56-AA56</f>
        <v>0.33957524825308305</v>
      </c>
      <c r="AC56" s="126">
        <f t="shared" si="40"/>
        <v>-0.33957524825308305</v>
      </c>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row>
    <row r="57" spans="2:69" x14ac:dyDescent="0.2">
      <c r="B57" s="69">
        <f t="shared" si="35"/>
        <v>1</v>
      </c>
      <c r="C57" s="69">
        <f t="shared" ref="C57:C93" si="41">IF(D57=D56,C56,C56+1)</f>
        <v>3</v>
      </c>
      <c r="D57" s="69" t="str">
        <f t="shared" si="36"/>
        <v>VA Electric</v>
      </c>
      <c r="F57" s="70">
        <v>2014</v>
      </c>
      <c r="G57" s="372">
        <v>2122</v>
      </c>
      <c r="H57" s="372"/>
      <c r="I57" s="372"/>
      <c r="J57" s="76">
        <f t="shared" si="32"/>
        <v>0.16653830979217502</v>
      </c>
      <c r="K57" s="69"/>
      <c r="L57" s="69"/>
      <c r="M57" s="69"/>
      <c r="N57" s="69"/>
      <c r="O57" s="375">
        <v>13058.98503</v>
      </c>
      <c r="P57" s="76">
        <f>O57/$O$226</f>
        <v>1.5091218117829304E-2</v>
      </c>
      <c r="Q57" s="69"/>
      <c r="R57" s="372">
        <v>3095734.01</v>
      </c>
      <c r="S57" s="372"/>
      <c r="T57" s="427">
        <v>3527034</v>
      </c>
      <c r="U57" s="427">
        <f t="shared" si="17"/>
        <v>-431299.99000000022</v>
      </c>
      <c r="V57" s="494">
        <f t="shared" si="18"/>
        <v>-0.13932075191434171</v>
      </c>
      <c r="W57" s="372">
        <v>50652.218574332495</v>
      </c>
      <c r="X57" s="71">
        <f>W57-O57</f>
        <v>37593.233544332499</v>
      </c>
      <c r="Y57" s="76">
        <f>X57/W57</f>
        <v>0.74218335548647607</v>
      </c>
      <c r="Z57" s="76">
        <f>1-Y57</f>
        <v>0.25781664451352393</v>
      </c>
      <c r="AA57" s="126">
        <f>Z57*Q57</f>
        <v>0</v>
      </c>
      <c r="AB57" s="126">
        <f t="shared" si="40"/>
        <v>0.25781664451352393</v>
      </c>
      <c r="AC57" s="126">
        <f t="shared" si="40"/>
        <v>-0.25781664451352393</v>
      </c>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row>
    <row r="58" spans="2:69" x14ac:dyDescent="0.2">
      <c r="B58" s="72">
        <f>'OPG hydro peers'!B8</f>
        <v>1</v>
      </c>
      <c r="C58" s="72">
        <f t="shared" si="41"/>
        <v>4</v>
      </c>
      <c r="D58" s="72" t="str">
        <f>'OPG hydro peers'!D8</f>
        <v>ID Power</v>
      </c>
      <c r="F58" s="73">
        <v>2002</v>
      </c>
      <c r="G58" s="373">
        <v>1695.38</v>
      </c>
      <c r="H58" s="373"/>
      <c r="I58" s="373"/>
      <c r="J58" s="75">
        <f t="shared" ref="J58:J70" si="42">R58/(G58*8760)</f>
        <v>0.40214344801997753</v>
      </c>
      <c r="K58" s="74"/>
      <c r="L58" s="74"/>
      <c r="M58" s="74"/>
      <c r="N58" s="74"/>
      <c r="O58" s="373">
        <v>19531.863720000001</v>
      </c>
      <c r="P58" s="75">
        <f>O58/$O$214</f>
        <v>3.7750356635825509E-2</v>
      </c>
      <c r="Q58" s="75"/>
      <c r="R58" s="373">
        <v>5972445</v>
      </c>
      <c r="S58" s="373"/>
      <c r="T58" s="373">
        <v>6068478</v>
      </c>
      <c r="U58" s="427">
        <f t="shared" si="17"/>
        <v>-96033</v>
      </c>
      <c r="V58" s="112">
        <f t="shared" si="18"/>
        <v>-1.6079344389106975E-2</v>
      </c>
      <c r="W58" s="373">
        <v>164988.6196401761</v>
      </c>
      <c r="X58" s="74">
        <f t="shared" ref="X58:X68" si="43">W58-O58</f>
        <v>145456.7559201761</v>
      </c>
      <c r="Y58" s="75">
        <f>X58/W58</f>
        <v>0.88161690325916375</v>
      </c>
      <c r="Z58" s="75">
        <f>1-Y58</f>
        <v>0.11838309674083625</v>
      </c>
      <c r="AA58" s="125">
        <f t="shared" ref="AA58:AA68" si="44">Z58*Q58</f>
        <v>0</v>
      </c>
      <c r="AB58" s="125">
        <f t="shared" si="40"/>
        <v>0.11838309674083625</v>
      </c>
      <c r="AC58" s="125">
        <f t="shared" si="40"/>
        <v>-0.11838309674083625</v>
      </c>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row>
    <row r="59" spans="2:69" x14ac:dyDescent="0.2">
      <c r="B59" s="72">
        <f t="shared" ref="B59:B70" si="45">B58</f>
        <v>1</v>
      </c>
      <c r="C59" s="72">
        <f t="shared" si="41"/>
        <v>4</v>
      </c>
      <c r="D59" s="72" t="str">
        <f t="shared" ref="D59:D70" si="46">D58</f>
        <v>ID Power</v>
      </c>
      <c r="F59" s="73">
        <v>2003</v>
      </c>
      <c r="G59" s="373">
        <v>1695.38</v>
      </c>
      <c r="H59" s="373"/>
      <c r="I59" s="373"/>
      <c r="J59" s="75">
        <f t="shared" si="42"/>
        <v>0.40998358364291759</v>
      </c>
      <c r="K59" s="74"/>
      <c r="L59" s="74"/>
      <c r="M59" s="74"/>
      <c r="N59" s="74"/>
      <c r="O59" s="373">
        <v>20580.041430000001</v>
      </c>
      <c r="P59" s="75">
        <f>O59/$O$215</f>
        <v>3.6694861281905258E-2</v>
      </c>
      <c r="Q59" s="75"/>
      <c r="R59" s="373">
        <v>6088883</v>
      </c>
      <c r="S59" s="373"/>
      <c r="T59" s="373">
        <v>6149234</v>
      </c>
      <c r="U59" s="427">
        <f t="shared" si="17"/>
        <v>-60351</v>
      </c>
      <c r="V59" s="112">
        <f t="shared" si="18"/>
        <v>-9.9116701700459678E-3</v>
      </c>
      <c r="W59" s="373">
        <v>284528.62400695944</v>
      </c>
      <c r="X59" s="74">
        <f t="shared" si="43"/>
        <v>263948.58257695945</v>
      </c>
      <c r="Y59" s="75">
        <f t="shared" ref="Y59:Y68" si="47">X59/W59</f>
        <v>0.92766969755037154</v>
      </c>
      <c r="Z59" s="75">
        <f t="shared" ref="Z59:Z68" si="48">1-Y59</f>
        <v>7.2330302449628459E-2</v>
      </c>
      <c r="AA59" s="125">
        <f t="shared" si="44"/>
        <v>0</v>
      </c>
      <c r="AB59" s="125">
        <f t="shared" ref="AB59:AC68" si="49">Z59-AA59</f>
        <v>7.2330302449628459E-2</v>
      </c>
      <c r="AC59" s="125">
        <f t="shared" si="49"/>
        <v>-7.2330302449628459E-2</v>
      </c>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row>
    <row r="60" spans="2:69" x14ac:dyDescent="0.2">
      <c r="B60" s="72">
        <f t="shared" si="45"/>
        <v>1</v>
      </c>
      <c r="C60" s="72">
        <f t="shared" si="41"/>
        <v>4</v>
      </c>
      <c r="D60" s="72" t="str">
        <f t="shared" si="46"/>
        <v>ID Power</v>
      </c>
      <c r="F60" s="73">
        <v>2004</v>
      </c>
      <c r="G60" s="373">
        <v>1695.38</v>
      </c>
      <c r="H60" s="373"/>
      <c r="I60" s="373"/>
      <c r="J60" s="75">
        <f t="shared" si="42"/>
        <v>0.4021234500787555</v>
      </c>
      <c r="K60" s="74"/>
      <c r="L60" s="74"/>
      <c r="M60" s="74"/>
      <c r="N60" s="74"/>
      <c r="O60" s="373">
        <v>24071.931479999999</v>
      </c>
      <c r="P60" s="75">
        <f>O60/$O$216</f>
        <v>4.0074300429011507E-2</v>
      </c>
      <c r="Q60" s="75"/>
      <c r="R60" s="373">
        <v>5972148</v>
      </c>
      <c r="S60" s="373"/>
      <c r="T60" s="373">
        <v>6040502</v>
      </c>
      <c r="U60" s="427">
        <f t="shared" si="17"/>
        <v>-68354</v>
      </c>
      <c r="V60" s="112">
        <f t="shared" si="18"/>
        <v>-1.1445463173384183E-2</v>
      </c>
      <c r="W60" s="373">
        <v>305563.26775860606</v>
      </c>
      <c r="X60" s="74">
        <f t="shared" si="43"/>
        <v>281491.33627860609</v>
      </c>
      <c r="Y60" s="75">
        <f t="shared" si="47"/>
        <v>0.921221121712127</v>
      </c>
      <c r="Z60" s="75">
        <f t="shared" si="48"/>
        <v>7.8778878287873E-2</v>
      </c>
      <c r="AA60" s="125">
        <f t="shared" si="44"/>
        <v>0</v>
      </c>
      <c r="AB60" s="125">
        <f t="shared" si="49"/>
        <v>7.8778878287873E-2</v>
      </c>
      <c r="AC60" s="125">
        <f t="shared" si="49"/>
        <v>-7.8778878287873E-2</v>
      </c>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row>
    <row r="61" spans="2:69" x14ac:dyDescent="0.2">
      <c r="B61" s="72">
        <f t="shared" si="45"/>
        <v>1</v>
      </c>
      <c r="C61" s="72">
        <f t="shared" si="41"/>
        <v>4</v>
      </c>
      <c r="D61" s="72" t="str">
        <f t="shared" si="46"/>
        <v>ID Power</v>
      </c>
      <c r="F61" s="73">
        <v>2005</v>
      </c>
      <c r="G61" s="373">
        <v>1695.38</v>
      </c>
      <c r="H61" s="373"/>
      <c r="I61" s="373"/>
      <c r="J61" s="75">
        <f t="shared" si="42"/>
        <v>0.41375019923874773</v>
      </c>
      <c r="K61" s="74"/>
      <c r="L61" s="74"/>
      <c r="M61" s="74"/>
      <c r="N61" s="74"/>
      <c r="O61" s="373">
        <v>25021.325430000001</v>
      </c>
      <c r="P61" s="75">
        <f>O61/$O$217</f>
        <v>4.005444552426457E-2</v>
      </c>
      <c r="Q61" s="75"/>
      <c r="R61" s="373">
        <v>6144823</v>
      </c>
      <c r="S61" s="373"/>
      <c r="T61" s="373">
        <v>6198524</v>
      </c>
      <c r="U61" s="427">
        <f t="shared" si="17"/>
        <v>-53701</v>
      </c>
      <c r="V61" s="112">
        <f t="shared" si="18"/>
        <v>-8.7392265000960975E-3</v>
      </c>
      <c r="W61" s="373">
        <v>431549.9626206687</v>
      </c>
      <c r="X61" s="74">
        <f t="shared" si="43"/>
        <v>406528.63719066867</v>
      </c>
      <c r="Y61" s="75">
        <f t="shared" si="47"/>
        <v>0.94201986421675654</v>
      </c>
      <c r="Z61" s="75">
        <f t="shared" si="48"/>
        <v>5.7980135783243458E-2</v>
      </c>
      <c r="AA61" s="125">
        <f t="shared" si="44"/>
        <v>0</v>
      </c>
      <c r="AB61" s="125">
        <f t="shared" si="49"/>
        <v>5.7980135783243458E-2</v>
      </c>
      <c r="AC61" s="125">
        <f t="shared" si="49"/>
        <v>-5.7980135783243458E-2</v>
      </c>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row>
    <row r="62" spans="2:69" x14ac:dyDescent="0.2">
      <c r="B62" s="72">
        <f t="shared" si="45"/>
        <v>1</v>
      </c>
      <c r="C62" s="72">
        <f t="shared" si="41"/>
        <v>4</v>
      </c>
      <c r="D62" s="72" t="str">
        <f t="shared" si="46"/>
        <v>ID Power</v>
      </c>
      <c r="F62" s="73">
        <v>2006</v>
      </c>
      <c r="G62" s="373">
        <v>1695.38</v>
      </c>
      <c r="H62" s="373"/>
      <c r="I62" s="373"/>
      <c r="J62" s="75">
        <f t="shared" si="42"/>
        <v>0.61545313772680421</v>
      </c>
      <c r="K62" s="74"/>
      <c r="L62" s="74"/>
      <c r="M62" s="74"/>
      <c r="N62" s="74"/>
      <c r="O62" s="373">
        <v>27153.40005</v>
      </c>
      <c r="P62" s="75">
        <f>O62/$O$218</f>
        <v>4.0867045703102227E-2</v>
      </c>
      <c r="Q62" s="75"/>
      <c r="R62" s="373">
        <v>9140420</v>
      </c>
      <c r="S62" s="373"/>
      <c r="T62" s="373">
        <v>9206526</v>
      </c>
      <c r="U62" s="427">
        <f t="shared" si="17"/>
        <v>-66106</v>
      </c>
      <c r="V62" s="112">
        <f t="shared" si="18"/>
        <v>-7.2322716023990145E-3</v>
      </c>
      <c r="W62" s="373">
        <v>508252.05472358083</v>
      </c>
      <c r="X62" s="74">
        <f t="shared" si="43"/>
        <v>481098.65467358084</v>
      </c>
      <c r="Y62" s="75">
        <f t="shared" si="47"/>
        <v>0.94657493305212959</v>
      </c>
      <c r="Z62" s="75">
        <f t="shared" si="48"/>
        <v>5.3425066947870414E-2</v>
      </c>
      <c r="AA62" s="125">
        <f t="shared" si="44"/>
        <v>0</v>
      </c>
      <c r="AB62" s="125">
        <f t="shared" si="49"/>
        <v>5.3425066947870414E-2</v>
      </c>
      <c r="AC62" s="125">
        <f t="shared" si="49"/>
        <v>-5.3425066947870414E-2</v>
      </c>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row>
    <row r="63" spans="2:69" x14ac:dyDescent="0.2">
      <c r="B63" s="72">
        <f t="shared" si="45"/>
        <v>1</v>
      </c>
      <c r="C63" s="72">
        <f t="shared" si="41"/>
        <v>4</v>
      </c>
      <c r="D63" s="72" t="str">
        <f t="shared" si="46"/>
        <v>ID Power</v>
      </c>
      <c r="F63" s="73">
        <v>2007</v>
      </c>
      <c r="G63" s="373">
        <v>1695.38</v>
      </c>
      <c r="H63" s="373"/>
      <c r="I63" s="373"/>
      <c r="J63" s="75">
        <f t="shared" si="42"/>
        <v>0.4115001278521575</v>
      </c>
      <c r="K63" s="74"/>
      <c r="L63" s="74"/>
      <c r="M63" s="74"/>
      <c r="N63" s="74"/>
      <c r="O63" s="373">
        <v>28498.606769999999</v>
      </c>
      <c r="P63" s="75">
        <f>O63/$O$219</f>
        <v>3.951155516655086E-2</v>
      </c>
      <c r="Q63" s="75"/>
      <c r="R63" s="373">
        <v>6111406</v>
      </c>
      <c r="S63" s="373"/>
      <c r="T63" s="373">
        <v>6181322</v>
      </c>
      <c r="U63" s="427">
        <f t="shared" si="17"/>
        <v>-69916</v>
      </c>
      <c r="V63" s="112">
        <f t="shared" si="18"/>
        <v>-1.1440247956034995E-2</v>
      </c>
      <c r="W63" s="373">
        <v>394717.87990298856</v>
      </c>
      <c r="X63" s="74">
        <f t="shared" si="43"/>
        <v>366219.27313298854</v>
      </c>
      <c r="Y63" s="75">
        <f t="shared" si="47"/>
        <v>0.92780006120572944</v>
      </c>
      <c r="Z63" s="75">
        <f t="shared" si="48"/>
        <v>7.2199938794270557E-2</v>
      </c>
      <c r="AA63" s="125">
        <f t="shared" si="44"/>
        <v>0</v>
      </c>
      <c r="AB63" s="125">
        <f t="shared" si="49"/>
        <v>7.2199938794270557E-2</v>
      </c>
      <c r="AC63" s="125">
        <f t="shared" si="49"/>
        <v>-7.2199938794270557E-2</v>
      </c>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row>
    <row r="64" spans="2:69" x14ac:dyDescent="0.2">
      <c r="B64" s="72">
        <f t="shared" si="45"/>
        <v>1</v>
      </c>
      <c r="C64" s="72">
        <f t="shared" si="41"/>
        <v>4</v>
      </c>
      <c r="D64" s="72" t="str">
        <f t="shared" si="46"/>
        <v>ID Power</v>
      </c>
      <c r="F64" s="73">
        <v>2008</v>
      </c>
      <c r="G64" s="373">
        <v>1695.38</v>
      </c>
      <c r="H64" s="373"/>
      <c r="I64" s="373"/>
      <c r="J64" s="75">
        <f t="shared" si="42"/>
        <v>0.46053817705285666</v>
      </c>
      <c r="K64" s="74"/>
      <c r="L64" s="74"/>
      <c r="M64" s="74"/>
      <c r="N64" s="74"/>
      <c r="O64" s="373">
        <v>30234.393840000001</v>
      </c>
      <c r="P64" s="75">
        <f>O64/$O$220</f>
        <v>3.8680322573499716E-2</v>
      </c>
      <c r="Q64" s="75"/>
      <c r="R64" s="373">
        <v>6839696</v>
      </c>
      <c r="S64" s="373"/>
      <c r="T64" s="373">
        <v>6908211</v>
      </c>
      <c r="U64" s="427">
        <f t="shared" si="17"/>
        <v>-68515</v>
      </c>
      <c r="V64" s="112">
        <f t="shared" si="18"/>
        <v>-1.0017258076967163E-2</v>
      </c>
      <c r="W64" s="373">
        <v>518482.50622869655</v>
      </c>
      <c r="X64" s="74">
        <f t="shared" si="43"/>
        <v>488248.11238869658</v>
      </c>
      <c r="Y64" s="75">
        <f t="shared" si="47"/>
        <v>0.94168676189305422</v>
      </c>
      <c r="Z64" s="75">
        <f t="shared" si="48"/>
        <v>5.8313238106945775E-2</v>
      </c>
      <c r="AA64" s="125">
        <f t="shared" si="44"/>
        <v>0</v>
      </c>
      <c r="AB64" s="125">
        <f t="shared" si="49"/>
        <v>5.8313238106945775E-2</v>
      </c>
      <c r="AC64" s="125">
        <f t="shared" si="49"/>
        <v>-5.8313238106945775E-2</v>
      </c>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row>
    <row r="65" spans="2:69" x14ac:dyDescent="0.2">
      <c r="B65" s="72">
        <f t="shared" si="45"/>
        <v>1</v>
      </c>
      <c r="C65" s="72">
        <f t="shared" si="41"/>
        <v>4</v>
      </c>
      <c r="D65" s="72" t="str">
        <f t="shared" si="46"/>
        <v>ID Power</v>
      </c>
      <c r="F65" s="73">
        <v>2009</v>
      </c>
      <c r="G65" s="373">
        <v>1695.38</v>
      </c>
      <c r="H65" s="373"/>
      <c r="I65" s="373"/>
      <c r="J65" s="75">
        <f t="shared" si="42"/>
        <v>0.54055593253133638</v>
      </c>
      <c r="K65" s="74"/>
      <c r="L65" s="74"/>
      <c r="M65" s="74"/>
      <c r="N65" s="74"/>
      <c r="O65" s="373">
        <v>29840.7225</v>
      </c>
      <c r="P65" s="75">
        <f>O65/$O$221</f>
        <v>3.8170555430792882E-2</v>
      </c>
      <c r="Q65" s="75"/>
      <c r="R65" s="373">
        <v>8028082</v>
      </c>
      <c r="S65" s="373"/>
      <c r="T65" s="373">
        <v>8096365</v>
      </c>
      <c r="U65" s="427">
        <f t="shared" si="17"/>
        <v>-68283</v>
      </c>
      <c r="V65" s="112">
        <f t="shared" si="18"/>
        <v>-8.505518503672484E-3</v>
      </c>
      <c r="W65" s="373">
        <v>304444.61121872417</v>
      </c>
      <c r="X65" s="74">
        <f t="shared" si="43"/>
        <v>274603.88871872419</v>
      </c>
      <c r="Y65" s="75">
        <f t="shared" si="47"/>
        <v>0.90198308197821475</v>
      </c>
      <c r="Z65" s="75">
        <f t="shared" si="48"/>
        <v>9.8016918021785249E-2</v>
      </c>
      <c r="AA65" s="125">
        <f t="shared" si="44"/>
        <v>0</v>
      </c>
      <c r="AB65" s="125">
        <f t="shared" si="49"/>
        <v>9.8016918021785249E-2</v>
      </c>
      <c r="AC65" s="125">
        <f t="shared" si="49"/>
        <v>-9.8016918021785249E-2</v>
      </c>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row>
    <row r="66" spans="2:69" x14ac:dyDescent="0.2">
      <c r="B66" s="72">
        <f t="shared" si="45"/>
        <v>1</v>
      </c>
      <c r="C66" s="72">
        <f t="shared" si="41"/>
        <v>4</v>
      </c>
      <c r="D66" s="72" t="str">
        <f t="shared" si="46"/>
        <v>ID Power</v>
      </c>
      <c r="F66" s="73">
        <v>2010</v>
      </c>
      <c r="G66" s="373">
        <v>1695.38</v>
      </c>
      <c r="H66" s="373"/>
      <c r="I66" s="373"/>
      <c r="J66" s="75">
        <f t="shared" si="42"/>
        <v>0.48997124120986113</v>
      </c>
      <c r="K66" s="74"/>
      <c r="L66" s="74"/>
      <c r="M66" s="74"/>
      <c r="N66" s="74"/>
      <c r="O66" s="373">
        <v>30973.16259</v>
      </c>
      <c r="P66" s="75">
        <f>O66/$O$222</f>
        <v>3.6857210808852535E-2</v>
      </c>
      <c r="Q66" s="75"/>
      <c r="R66" s="373">
        <v>7276822</v>
      </c>
      <c r="S66" s="373"/>
      <c r="T66" s="373">
        <v>7344433</v>
      </c>
      <c r="U66" s="427">
        <f t="shared" si="17"/>
        <v>-67611</v>
      </c>
      <c r="V66" s="112">
        <f t="shared" si="18"/>
        <v>-9.2912812763593783E-3</v>
      </c>
      <c r="W66" s="373">
        <v>292885.50805444067</v>
      </c>
      <c r="X66" s="74">
        <f t="shared" si="43"/>
        <v>261912.34546444067</v>
      </c>
      <c r="Y66" s="75">
        <f t="shared" si="47"/>
        <v>0.89424822417556149</v>
      </c>
      <c r="Z66" s="75">
        <f t="shared" si="48"/>
        <v>0.10575177582443851</v>
      </c>
      <c r="AA66" s="125">
        <f t="shared" si="44"/>
        <v>0</v>
      </c>
      <c r="AB66" s="125">
        <f t="shared" si="49"/>
        <v>0.10575177582443851</v>
      </c>
      <c r="AC66" s="125">
        <f t="shared" si="49"/>
        <v>-0.10575177582443851</v>
      </c>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row>
    <row r="67" spans="2:69" x14ac:dyDescent="0.2">
      <c r="B67" s="72">
        <f t="shared" si="45"/>
        <v>1</v>
      </c>
      <c r="C67" s="72">
        <f t="shared" si="41"/>
        <v>4</v>
      </c>
      <c r="D67" s="72" t="str">
        <f t="shared" si="46"/>
        <v>ID Power</v>
      </c>
      <c r="F67" s="73">
        <v>2011</v>
      </c>
      <c r="G67" s="373">
        <v>1695.38</v>
      </c>
      <c r="H67" s="373"/>
      <c r="I67" s="373"/>
      <c r="J67" s="75">
        <f t="shared" si="42"/>
        <v>0.73414098621281332</v>
      </c>
      <c r="K67" s="74"/>
      <c r="L67" s="74"/>
      <c r="M67" s="74"/>
      <c r="N67" s="74"/>
      <c r="O67" s="373">
        <v>31170.94413</v>
      </c>
      <c r="P67" s="75">
        <f>O67/$O$223</f>
        <v>3.830225918620718E-2</v>
      </c>
      <c r="Q67" s="75"/>
      <c r="R67" s="373">
        <v>10903116</v>
      </c>
      <c r="S67" s="373"/>
      <c r="T67" s="373">
        <v>10936822</v>
      </c>
      <c r="U67" s="427">
        <f t="shared" si="17"/>
        <v>-33706</v>
      </c>
      <c r="V67" s="112">
        <f t="shared" si="18"/>
        <v>-3.0914098318315609E-3</v>
      </c>
      <c r="W67" s="373">
        <v>348149.23518379143</v>
      </c>
      <c r="X67" s="74">
        <f t="shared" si="43"/>
        <v>316978.29105379141</v>
      </c>
      <c r="Y67" s="75">
        <f t="shared" si="47"/>
        <v>0.91046671662643586</v>
      </c>
      <c r="Z67" s="75">
        <f t="shared" si="48"/>
        <v>8.9533283373564143E-2</v>
      </c>
      <c r="AA67" s="125">
        <f t="shared" si="44"/>
        <v>0</v>
      </c>
      <c r="AB67" s="125">
        <f t="shared" si="49"/>
        <v>8.9533283373564143E-2</v>
      </c>
      <c r="AC67" s="125">
        <f t="shared" si="49"/>
        <v>-8.9533283373564143E-2</v>
      </c>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row>
    <row r="68" spans="2:69" x14ac:dyDescent="0.2">
      <c r="B68" s="72">
        <f t="shared" si="45"/>
        <v>1</v>
      </c>
      <c r="C68" s="72">
        <f t="shared" si="41"/>
        <v>4</v>
      </c>
      <c r="D68" s="72" t="str">
        <f t="shared" si="46"/>
        <v>ID Power</v>
      </c>
      <c r="F68" s="73">
        <v>2012</v>
      </c>
      <c r="G68" s="373">
        <v>1695.38</v>
      </c>
      <c r="H68" s="373"/>
      <c r="I68" s="373"/>
      <c r="J68" s="75">
        <f t="shared" si="42"/>
        <v>0.5307817872595042</v>
      </c>
      <c r="K68" s="74"/>
      <c r="L68" s="74"/>
      <c r="M68" s="74"/>
      <c r="N68" s="74"/>
      <c r="O68" s="373">
        <v>32385.165689999998</v>
      </c>
      <c r="P68" s="75">
        <f>O68/$O$224</f>
        <v>3.9250152611101215E-2</v>
      </c>
      <c r="Q68" s="75"/>
      <c r="R68" s="373">
        <v>7882921</v>
      </c>
      <c r="S68" s="373"/>
      <c r="T68" s="373">
        <v>7956343</v>
      </c>
      <c r="U68" s="427">
        <f t="shared" si="17"/>
        <v>-73422</v>
      </c>
      <c r="V68" s="112">
        <f t="shared" si="18"/>
        <v>-9.3140601053847936E-3</v>
      </c>
      <c r="W68" s="373">
        <v>199877.43332441684</v>
      </c>
      <c r="X68" s="74">
        <f t="shared" si="43"/>
        <v>167492.26763441684</v>
      </c>
      <c r="Y68" s="75">
        <f t="shared" si="47"/>
        <v>0.83797487714665464</v>
      </c>
      <c r="Z68" s="75">
        <f t="shared" si="48"/>
        <v>0.16202512285334536</v>
      </c>
      <c r="AA68" s="125">
        <f t="shared" si="44"/>
        <v>0</v>
      </c>
      <c r="AB68" s="125">
        <f t="shared" si="49"/>
        <v>0.16202512285334536</v>
      </c>
      <c r="AC68" s="125">
        <f t="shared" si="49"/>
        <v>-0.16202512285334536</v>
      </c>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row>
    <row r="69" spans="2:69" x14ac:dyDescent="0.2">
      <c r="B69" s="72">
        <f t="shared" si="45"/>
        <v>1</v>
      </c>
      <c r="C69" s="72">
        <f t="shared" si="41"/>
        <v>4</v>
      </c>
      <c r="D69" s="72" t="str">
        <f t="shared" si="46"/>
        <v>ID Power</v>
      </c>
      <c r="F69" s="73">
        <v>2013</v>
      </c>
      <c r="G69" s="373">
        <v>1695.38</v>
      </c>
      <c r="H69" s="373"/>
      <c r="I69" s="373"/>
      <c r="J69" s="75">
        <f t="shared" si="42"/>
        <v>0.37624887479597385</v>
      </c>
      <c r="K69" s="72"/>
      <c r="L69" s="72"/>
      <c r="M69" s="72"/>
      <c r="N69" s="72"/>
      <c r="O69" s="373">
        <v>33355.754999999997</v>
      </c>
      <c r="P69" s="75">
        <f>O69/$O$225</f>
        <v>3.961763047672779E-2</v>
      </c>
      <c r="Q69" s="72"/>
      <c r="R69" s="373">
        <v>5587871</v>
      </c>
      <c r="S69" s="373"/>
      <c r="T69" s="373">
        <v>5656364</v>
      </c>
      <c r="U69" s="427">
        <f t="shared" si="17"/>
        <v>-68493</v>
      </c>
      <c r="V69" s="112">
        <f t="shared" si="18"/>
        <v>-1.2257441161401185E-2</v>
      </c>
      <c r="W69" s="373">
        <v>230877.14055239077</v>
      </c>
      <c r="X69" s="74">
        <f>W69-O69</f>
        <v>197521.38555239077</v>
      </c>
      <c r="Y69" s="75">
        <f>X69/W69</f>
        <v>0.85552595237365692</v>
      </c>
      <c r="Z69" s="75">
        <f>1-Y69</f>
        <v>0.14447404762634308</v>
      </c>
      <c r="AA69" s="125">
        <f>Z69*Q69</f>
        <v>0</v>
      </c>
      <c r="AB69" s="125">
        <f t="shared" ref="AB69:AC71" si="50">Z69-AA69</f>
        <v>0.14447404762634308</v>
      </c>
      <c r="AC69" s="125">
        <f t="shared" si="50"/>
        <v>-0.14447404762634308</v>
      </c>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row>
    <row r="70" spans="2:69" x14ac:dyDescent="0.2">
      <c r="B70" s="72">
        <f t="shared" si="45"/>
        <v>1</v>
      </c>
      <c r="C70" s="72">
        <f t="shared" si="41"/>
        <v>4</v>
      </c>
      <c r="D70" s="72" t="str">
        <f t="shared" si="46"/>
        <v>ID Power</v>
      </c>
      <c r="F70" s="73">
        <v>2014</v>
      </c>
      <c r="G70" s="373">
        <v>1695.38</v>
      </c>
      <c r="H70" s="373"/>
      <c r="I70" s="373"/>
      <c r="J70" s="75">
        <f t="shared" si="42"/>
        <v>0.41055934928396054</v>
      </c>
      <c r="K70" s="72"/>
      <c r="L70" s="72"/>
      <c r="M70" s="72"/>
      <c r="N70" s="72"/>
      <c r="O70" s="373">
        <v>32514.545700000002</v>
      </c>
      <c r="P70" s="75">
        <f>O70/$O$226</f>
        <v>3.7574443958209275E-2</v>
      </c>
      <c r="Q70" s="72"/>
      <c r="R70" s="373">
        <v>6097434</v>
      </c>
      <c r="S70" s="373"/>
      <c r="T70" s="373">
        <v>6169847</v>
      </c>
      <c r="U70" s="427">
        <f t="shared" si="17"/>
        <v>-72413</v>
      </c>
      <c r="V70" s="112">
        <f t="shared" si="18"/>
        <v>-1.1875979305393055E-2</v>
      </c>
      <c r="W70" s="373">
        <v>257485.54271276909</v>
      </c>
      <c r="X70" s="74">
        <f>W70-O70</f>
        <v>224970.9970127691</v>
      </c>
      <c r="Y70" s="75">
        <f>X70/W70</f>
        <v>0.87372282980458171</v>
      </c>
      <c r="Z70" s="75">
        <f>1-Y70</f>
        <v>0.12627717019541829</v>
      </c>
      <c r="AA70" s="125">
        <f>Z70*Q70</f>
        <v>0</v>
      </c>
      <c r="AB70" s="125">
        <f t="shared" si="50"/>
        <v>0.12627717019541829</v>
      </c>
      <c r="AC70" s="125">
        <f t="shared" si="50"/>
        <v>-0.12627717019541829</v>
      </c>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row>
    <row r="71" spans="2:69" x14ac:dyDescent="0.2">
      <c r="B71" s="69">
        <f>'OPG hydro peers'!B9</f>
        <v>1</v>
      </c>
      <c r="C71" s="69">
        <f t="shared" si="41"/>
        <v>5</v>
      </c>
      <c r="D71" s="69" t="str">
        <f>'OPG hydro peers'!D9</f>
        <v>AB Power</v>
      </c>
      <c r="F71" s="70">
        <v>2002</v>
      </c>
      <c r="G71" s="372">
        <v>1582.8</v>
      </c>
      <c r="H71" s="372"/>
      <c r="I71" s="372"/>
      <c r="J71" s="76">
        <f t="shared" ref="J71:J83" si="51">R71/(G71*8760)</f>
        <v>0.29489457443776301</v>
      </c>
      <c r="K71" s="71"/>
      <c r="L71" s="71"/>
      <c r="M71" s="71"/>
      <c r="N71" s="71"/>
      <c r="O71" s="372">
        <v>20800.446360000002</v>
      </c>
      <c r="P71" s="76">
        <f>O71/$O$214</f>
        <v>4.0202219282859018E-2</v>
      </c>
      <c r="Q71" s="76"/>
      <c r="R71" s="372">
        <v>4088810</v>
      </c>
      <c r="S71" s="372"/>
      <c r="T71" s="372">
        <v>4088810</v>
      </c>
      <c r="U71" s="427">
        <f t="shared" si="17"/>
        <v>0</v>
      </c>
      <c r="V71" s="112">
        <f t="shared" si="18"/>
        <v>0</v>
      </c>
      <c r="W71" s="372">
        <v>117928.58339124071</v>
      </c>
      <c r="X71" s="71">
        <f t="shared" ref="X71:X81" si="52">W71-O71</f>
        <v>97128.137031240709</v>
      </c>
      <c r="Y71" s="76">
        <f>X71/W71</f>
        <v>0.82361828013322014</v>
      </c>
      <c r="Z71" s="76">
        <f>1-Y71</f>
        <v>0.17638171986677986</v>
      </c>
      <c r="AA71" s="126">
        <f t="shared" ref="AA71:AA81" si="53">Z71*Q71</f>
        <v>0</v>
      </c>
      <c r="AB71" s="126">
        <f t="shared" si="50"/>
        <v>0.17638171986677986</v>
      </c>
      <c r="AC71" s="126">
        <f t="shared" si="50"/>
        <v>-0.17638171986677986</v>
      </c>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row>
    <row r="72" spans="2:69" x14ac:dyDescent="0.2">
      <c r="B72" s="69">
        <f t="shared" ref="B72:B83" si="54">B71</f>
        <v>1</v>
      </c>
      <c r="C72" s="69">
        <f t="shared" si="41"/>
        <v>5</v>
      </c>
      <c r="D72" s="69" t="str">
        <f t="shared" ref="D72:D83" si="55">D71</f>
        <v>AB Power</v>
      </c>
      <c r="F72" s="70">
        <v>2003</v>
      </c>
      <c r="G72" s="372">
        <v>1582.8</v>
      </c>
      <c r="H72" s="372"/>
      <c r="I72" s="372"/>
      <c r="J72" s="76">
        <f t="shared" si="51"/>
        <v>0.4155499242426865</v>
      </c>
      <c r="K72" s="71"/>
      <c r="L72" s="71"/>
      <c r="M72" s="71"/>
      <c r="N72" s="71"/>
      <c r="O72" s="372">
        <v>22378.131689999998</v>
      </c>
      <c r="P72" s="76">
        <f>O72/$O$215</f>
        <v>3.990091278026927E-2</v>
      </c>
      <c r="Q72" s="76"/>
      <c r="R72" s="372">
        <v>5761736</v>
      </c>
      <c r="S72" s="372"/>
      <c r="T72" s="372">
        <v>5761736</v>
      </c>
      <c r="U72" s="427">
        <f t="shared" si="17"/>
        <v>0</v>
      </c>
      <c r="V72" s="112">
        <f t="shared" si="18"/>
        <v>0</v>
      </c>
      <c r="W72" s="372">
        <v>219629.73858335527</v>
      </c>
      <c r="X72" s="71">
        <f t="shared" si="52"/>
        <v>197251.60689335526</v>
      </c>
      <c r="Y72" s="76">
        <f t="shared" ref="Y72:Y81" si="56">X72/W72</f>
        <v>0.89810973762322754</v>
      </c>
      <c r="Z72" s="76">
        <f t="shared" ref="Z72:Z81" si="57">1-Y72</f>
        <v>0.10189026237677246</v>
      </c>
      <c r="AA72" s="126">
        <f t="shared" si="53"/>
        <v>0</v>
      </c>
      <c r="AB72" s="126">
        <f t="shared" ref="AB72:AC81" si="58">Z72-AA72</f>
        <v>0.10189026237677246</v>
      </c>
      <c r="AC72" s="126">
        <f t="shared" si="58"/>
        <v>-0.10189026237677246</v>
      </c>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row>
    <row r="73" spans="2:69" x14ac:dyDescent="0.2">
      <c r="B73" s="69">
        <f t="shared" si="54"/>
        <v>1</v>
      </c>
      <c r="C73" s="69">
        <f t="shared" si="41"/>
        <v>5</v>
      </c>
      <c r="D73" s="69" t="str">
        <f t="shared" si="55"/>
        <v>AB Power</v>
      </c>
      <c r="F73" s="70">
        <v>2004</v>
      </c>
      <c r="G73" s="372">
        <v>1582.8</v>
      </c>
      <c r="H73" s="372"/>
      <c r="I73" s="372"/>
      <c r="J73" s="76">
        <f t="shared" si="51"/>
        <v>0.31760164635124388</v>
      </c>
      <c r="K73" s="71"/>
      <c r="L73" s="71"/>
      <c r="M73" s="71"/>
      <c r="N73" s="71"/>
      <c r="O73" s="372">
        <v>23266.614809999999</v>
      </c>
      <c r="P73" s="76">
        <f>O73/$O$216</f>
        <v>3.8733631019043945E-2</v>
      </c>
      <c r="Q73" s="76"/>
      <c r="R73" s="372">
        <v>4403651</v>
      </c>
      <c r="S73" s="372"/>
      <c r="T73" s="372">
        <v>4468665</v>
      </c>
      <c r="U73" s="427">
        <f t="shared" si="17"/>
        <v>-65014</v>
      </c>
      <c r="V73" s="112">
        <f t="shared" si="18"/>
        <v>-1.4763658609640046E-2</v>
      </c>
      <c r="W73" s="372">
        <v>201992.15543234564</v>
      </c>
      <c r="X73" s="71">
        <f t="shared" si="52"/>
        <v>178725.54062234564</v>
      </c>
      <c r="Y73" s="76">
        <f t="shared" si="56"/>
        <v>0.88481426538471286</v>
      </c>
      <c r="Z73" s="76">
        <f t="shared" si="57"/>
        <v>0.11518573461528714</v>
      </c>
      <c r="AA73" s="126">
        <f t="shared" si="53"/>
        <v>0</v>
      </c>
      <c r="AB73" s="126">
        <f t="shared" si="58"/>
        <v>0.11518573461528714</v>
      </c>
      <c r="AC73" s="126">
        <f t="shared" si="58"/>
        <v>-0.11518573461528714</v>
      </c>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row>
    <row r="74" spans="2:69" x14ac:dyDescent="0.2">
      <c r="B74" s="69">
        <f t="shared" si="54"/>
        <v>1</v>
      </c>
      <c r="C74" s="69">
        <f t="shared" si="41"/>
        <v>5</v>
      </c>
      <c r="D74" s="69" t="str">
        <f t="shared" si="55"/>
        <v>AB Power</v>
      </c>
      <c r="F74" s="70">
        <v>2005</v>
      </c>
      <c r="G74" s="372">
        <v>1582.8</v>
      </c>
      <c r="H74" s="372"/>
      <c r="I74" s="372"/>
      <c r="J74" s="76">
        <f t="shared" si="51"/>
        <v>0.31999221367139674</v>
      </c>
      <c r="K74" s="71"/>
      <c r="L74" s="71"/>
      <c r="M74" s="71"/>
      <c r="N74" s="71"/>
      <c r="O74" s="372">
        <v>24858.392250000001</v>
      </c>
      <c r="P74" s="76">
        <f>O74/$O$217</f>
        <v>3.9793620085553781E-2</v>
      </c>
      <c r="Q74" s="76"/>
      <c r="R74" s="372">
        <v>4436797</v>
      </c>
      <c r="S74" s="372"/>
      <c r="T74" s="372">
        <v>4436797</v>
      </c>
      <c r="U74" s="427">
        <f t="shared" si="17"/>
        <v>0</v>
      </c>
      <c r="V74" s="112">
        <f t="shared" si="18"/>
        <v>0</v>
      </c>
      <c r="W74" s="372">
        <v>278700.42382010224</v>
      </c>
      <c r="X74" s="71">
        <f t="shared" si="52"/>
        <v>253842.03157010223</v>
      </c>
      <c r="Y74" s="76">
        <f t="shared" si="56"/>
        <v>0.91080604790882636</v>
      </c>
      <c r="Z74" s="76">
        <f t="shared" si="57"/>
        <v>8.9193952091173645E-2</v>
      </c>
      <c r="AA74" s="126">
        <f t="shared" si="53"/>
        <v>0</v>
      </c>
      <c r="AB74" s="126">
        <f t="shared" si="58"/>
        <v>8.9193952091173645E-2</v>
      </c>
      <c r="AC74" s="126">
        <f t="shared" si="58"/>
        <v>-8.9193952091173645E-2</v>
      </c>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row>
    <row r="75" spans="2:69" x14ac:dyDescent="0.2">
      <c r="B75" s="69">
        <f t="shared" si="54"/>
        <v>1</v>
      </c>
      <c r="C75" s="69">
        <f t="shared" si="41"/>
        <v>5</v>
      </c>
      <c r="D75" s="69" t="str">
        <f t="shared" si="55"/>
        <v>AB Power</v>
      </c>
      <c r="F75" s="70">
        <v>2006</v>
      </c>
      <c r="G75" s="372">
        <v>1582.8</v>
      </c>
      <c r="H75" s="372"/>
      <c r="I75" s="372"/>
      <c r="J75" s="76">
        <f t="shared" si="51"/>
        <v>0.22267168868994661</v>
      </c>
      <c r="K75" s="71"/>
      <c r="L75" s="71"/>
      <c r="M75" s="71"/>
      <c r="N75" s="71"/>
      <c r="O75" s="372">
        <v>27947.79924</v>
      </c>
      <c r="P75" s="76">
        <f>O75/$O$218</f>
        <v>4.2062650965959077E-2</v>
      </c>
      <c r="Q75" s="76"/>
      <c r="R75" s="372">
        <v>3087416</v>
      </c>
      <c r="S75" s="372"/>
      <c r="T75" s="372">
        <v>3087416</v>
      </c>
      <c r="U75" s="427">
        <f t="shared" si="17"/>
        <v>0</v>
      </c>
      <c r="V75" s="112">
        <f t="shared" si="18"/>
        <v>0</v>
      </c>
      <c r="W75" s="372">
        <v>155475.15254447065</v>
      </c>
      <c r="X75" s="71">
        <f t="shared" si="52"/>
        <v>127527.35330447066</v>
      </c>
      <c r="Y75" s="76">
        <f t="shared" si="56"/>
        <v>0.82024266397162038</v>
      </c>
      <c r="Z75" s="76">
        <f t="shared" si="57"/>
        <v>0.17975733602837962</v>
      </c>
      <c r="AA75" s="126">
        <f t="shared" si="53"/>
        <v>0</v>
      </c>
      <c r="AB75" s="126">
        <f t="shared" si="58"/>
        <v>0.17975733602837962</v>
      </c>
      <c r="AC75" s="126">
        <f t="shared" si="58"/>
        <v>-0.17975733602837962</v>
      </c>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row>
    <row r="76" spans="2:69" x14ac:dyDescent="0.2">
      <c r="B76" s="69">
        <f t="shared" si="54"/>
        <v>1</v>
      </c>
      <c r="C76" s="69">
        <f t="shared" si="41"/>
        <v>5</v>
      </c>
      <c r="D76" s="69" t="str">
        <f t="shared" si="55"/>
        <v>AB Power</v>
      </c>
      <c r="F76" s="70">
        <v>2007</v>
      </c>
      <c r="G76" s="372">
        <v>1582.8</v>
      </c>
      <c r="H76" s="372"/>
      <c r="I76" s="372"/>
      <c r="J76" s="76">
        <f t="shared" si="51"/>
        <v>0.10122501249159054</v>
      </c>
      <c r="K76" s="71"/>
      <c r="L76" s="71"/>
      <c r="M76" s="71"/>
      <c r="N76" s="71"/>
      <c r="O76" s="372">
        <v>32887.316879999998</v>
      </c>
      <c r="P76" s="76">
        <f>O76/$O$219</f>
        <v>4.5596230218238117E-2</v>
      </c>
      <c r="Q76" s="76"/>
      <c r="R76" s="372">
        <v>1403518</v>
      </c>
      <c r="S76" s="372"/>
      <c r="T76" s="372">
        <v>1403518</v>
      </c>
      <c r="U76" s="427">
        <f t="shared" si="17"/>
        <v>0</v>
      </c>
      <c r="V76" s="112">
        <f t="shared" si="18"/>
        <v>0</v>
      </c>
      <c r="W76" s="372">
        <v>78281.678603340639</v>
      </c>
      <c r="X76" s="71">
        <f t="shared" si="52"/>
        <v>45394.36172334064</v>
      </c>
      <c r="Y76" s="76">
        <f t="shared" si="56"/>
        <v>0.57988487898116503</v>
      </c>
      <c r="Z76" s="76">
        <f t="shared" si="57"/>
        <v>0.42011512101883497</v>
      </c>
      <c r="AA76" s="126">
        <f t="shared" si="53"/>
        <v>0</v>
      </c>
      <c r="AB76" s="126">
        <f t="shared" si="58"/>
        <v>0.42011512101883497</v>
      </c>
      <c r="AC76" s="126">
        <f t="shared" si="58"/>
        <v>-0.42011512101883497</v>
      </c>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row>
    <row r="77" spans="2:69" x14ac:dyDescent="0.2">
      <c r="B77" s="69">
        <f t="shared" si="54"/>
        <v>1</v>
      </c>
      <c r="C77" s="69">
        <f t="shared" si="41"/>
        <v>5</v>
      </c>
      <c r="D77" s="69" t="str">
        <f t="shared" si="55"/>
        <v>AB Power</v>
      </c>
      <c r="F77" s="70">
        <v>2008</v>
      </c>
      <c r="G77" s="372">
        <v>1582.8</v>
      </c>
      <c r="H77" s="372"/>
      <c r="I77" s="372"/>
      <c r="J77" s="76">
        <f t="shared" si="51"/>
        <v>0.16591378148428945</v>
      </c>
      <c r="K77" s="71"/>
      <c r="L77" s="71"/>
      <c r="M77" s="71"/>
      <c r="N77" s="71"/>
      <c r="O77" s="372">
        <v>32893.56897</v>
      </c>
      <c r="P77" s="76">
        <f>O77/$O$220</f>
        <v>4.2082333950084608E-2</v>
      </c>
      <c r="Q77" s="76"/>
      <c r="R77" s="372">
        <v>2300449</v>
      </c>
      <c r="S77" s="372"/>
      <c r="T77" s="372">
        <v>2300449</v>
      </c>
      <c r="U77" s="427">
        <f t="shared" si="17"/>
        <v>0</v>
      </c>
      <c r="V77" s="112">
        <f t="shared" si="18"/>
        <v>0</v>
      </c>
      <c r="W77" s="372">
        <v>161078.02352333433</v>
      </c>
      <c r="X77" s="71">
        <f t="shared" si="52"/>
        <v>128184.45455333433</v>
      </c>
      <c r="Y77" s="76">
        <f t="shared" si="56"/>
        <v>0.7957910815485334</v>
      </c>
      <c r="Z77" s="76">
        <f t="shared" si="57"/>
        <v>0.2042089184514666</v>
      </c>
      <c r="AA77" s="126">
        <f t="shared" si="53"/>
        <v>0</v>
      </c>
      <c r="AB77" s="126">
        <f t="shared" si="58"/>
        <v>0.2042089184514666</v>
      </c>
      <c r="AC77" s="126">
        <f t="shared" si="58"/>
        <v>-0.2042089184514666</v>
      </c>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row>
    <row r="78" spans="2:69" x14ac:dyDescent="0.2">
      <c r="B78" s="69">
        <f t="shared" si="54"/>
        <v>1</v>
      </c>
      <c r="C78" s="69">
        <f t="shared" si="41"/>
        <v>5</v>
      </c>
      <c r="D78" s="69" t="str">
        <f t="shared" si="55"/>
        <v>AB Power</v>
      </c>
      <c r="F78" s="70">
        <v>2009</v>
      </c>
      <c r="G78" s="372">
        <v>1582.8</v>
      </c>
      <c r="H78" s="372"/>
      <c r="I78" s="372"/>
      <c r="J78" s="76">
        <f t="shared" si="51"/>
        <v>0.42595140915526847</v>
      </c>
      <c r="K78" s="71"/>
      <c r="L78" s="71"/>
      <c r="M78" s="71"/>
      <c r="N78" s="71"/>
      <c r="O78" s="372">
        <v>28456.252950000002</v>
      </c>
      <c r="P78" s="76">
        <f>O78/$O$221</f>
        <v>3.639962070558575E-2</v>
      </c>
      <c r="Q78" s="76"/>
      <c r="R78" s="372">
        <v>5905956</v>
      </c>
      <c r="S78" s="372"/>
      <c r="T78" s="372">
        <v>5905956</v>
      </c>
      <c r="U78" s="427">
        <f t="shared" si="17"/>
        <v>0</v>
      </c>
      <c r="V78" s="112">
        <f t="shared" si="18"/>
        <v>0</v>
      </c>
      <c r="W78" s="372">
        <v>230502.46324916117</v>
      </c>
      <c r="X78" s="71">
        <f t="shared" si="52"/>
        <v>202046.21029916118</v>
      </c>
      <c r="Y78" s="76">
        <f t="shared" si="56"/>
        <v>0.87654685963489998</v>
      </c>
      <c r="Z78" s="76">
        <f t="shared" si="57"/>
        <v>0.12345314036510002</v>
      </c>
      <c r="AA78" s="126">
        <f t="shared" si="53"/>
        <v>0</v>
      </c>
      <c r="AB78" s="126">
        <f t="shared" si="58"/>
        <v>0.12345314036510002</v>
      </c>
      <c r="AC78" s="126">
        <f t="shared" si="58"/>
        <v>-0.12345314036510002</v>
      </c>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row>
    <row r="79" spans="2:69" x14ac:dyDescent="0.2">
      <c r="B79" s="69">
        <f t="shared" si="54"/>
        <v>1</v>
      </c>
      <c r="C79" s="69">
        <f t="shared" si="41"/>
        <v>5</v>
      </c>
      <c r="D79" s="69" t="str">
        <f t="shared" si="55"/>
        <v>AB Power</v>
      </c>
      <c r="F79" s="70">
        <v>2010</v>
      </c>
      <c r="G79" s="372">
        <v>1582.8</v>
      </c>
      <c r="H79" s="372"/>
      <c r="I79" s="372"/>
      <c r="J79" s="76">
        <f t="shared" si="51"/>
        <v>0.2673798989825556</v>
      </c>
      <c r="K79" s="71"/>
      <c r="L79" s="71"/>
      <c r="M79" s="71"/>
      <c r="N79" s="71"/>
      <c r="O79" s="372">
        <v>38606.343330000003</v>
      </c>
      <c r="P79" s="76">
        <f>O79/$O$222</f>
        <v>4.5940485752402727E-2</v>
      </c>
      <c r="Q79" s="76"/>
      <c r="R79" s="372">
        <v>3707310</v>
      </c>
      <c r="S79" s="372"/>
      <c r="T79" s="372">
        <v>3707310</v>
      </c>
      <c r="U79" s="427">
        <f t="shared" si="17"/>
        <v>0</v>
      </c>
      <c r="V79" s="112">
        <f t="shared" si="18"/>
        <v>0</v>
      </c>
      <c r="W79" s="372">
        <v>172147.16955677405</v>
      </c>
      <c r="X79" s="71">
        <f t="shared" si="52"/>
        <v>133540.82622677405</v>
      </c>
      <c r="Y79" s="76">
        <f t="shared" si="56"/>
        <v>0.77573640374454345</v>
      </c>
      <c r="Z79" s="76">
        <f t="shared" si="57"/>
        <v>0.22426359625545655</v>
      </c>
      <c r="AA79" s="126">
        <f t="shared" si="53"/>
        <v>0</v>
      </c>
      <c r="AB79" s="126">
        <f t="shared" si="58"/>
        <v>0.22426359625545655</v>
      </c>
      <c r="AC79" s="126">
        <f t="shared" si="58"/>
        <v>-0.22426359625545655</v>
      </c>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row>
    <row r="80" spans="2:69" x14ac:dyDescent="0.2">
      <c r="B80" s="69">
        <f t="shared" si="54"/>
        <v>1</v>
      </c>
      <c r="C80" s="69">
        <f t="shared" si="41"/>
        <v>5</v>
      </c>
      <c r="D80" s="69" t="str">
        <f t="shared" si="55"/>
        <v>AB Power</v>
      </c>
      <c r="F80" s="70">
        <v>2011</v>
      </c>
      <c r="G80" s="372">
        <v>1582.8</v>
      </c>
      <c r="H80" s="372"/>
      <c r="I80" s="372"/>
      <c r="J80" s="76">
        <f t="shared" si="51"/>
        <v>0.23108447200095086</v>
      </c>
      <c r="K80" s="71"/>
      <c r="L80" s="71"/>
      <c r="M80" s="71"/>
      <c r="N80" s="71"/>
      <c r="O80" s="372">
        <v>35773.668090000006</v>
      </c>
      <c r="P80" s="76">
        <f>O80/$O$223</f>
        <v>4.3957998240604763E-2</v>
      </c>
      <c r="Q80" s="76"/>
      <c r="R80" s="372">
        <v>3204062</v>
      </c>
      <c r="S80" s="372"/>
      <c r="T80" s="372">
        <v>3204062</v>
      </c>
      <c r="U80" s="427">
        <f t="shared" si="17"/>
        <v>0</v>
      </c>
      <c r="V80" s="112">
        <f t="shared" si="18"/>
        <v>0</v>
      </c>
      <c r="W80" s="372">
        <v>124119.07833807915</v>
      </c>
      <c r="X80" s="71">
        <f t="shared" si="52"/>
        <v>88345.410248079148</v>
      </c>
      <c r="Y80" s="76">
        <f t="shared" si="56"/>
        <v>0.71177945752579108</v>
      </c>
      <c r="Z80" s="76">
        <f t="shared" si="57"/>
        <v>0.28822054247420892</v>
      </c>
      <c r="AA80" s="126">
        <f t="shared" si="53"/>
        <v>0</v>
      </c>
      <c r="AB80" s="126">
        <f t="shared" si="58"/>
        <v>0.28822054247420892</v>
      </c>
      <c r="AC80" s="126">
        <f t="shared" si="58"/>
        <v>-0.28822054247420892</v>
      </c>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row>
    <row r="81" spans="2:69" x14ac:dyDescent="0.2">
      <c r="B81" s="69">
        <f t="shared" si="54"/>
        <v>1</v>
      </c>
      <c r="C81" s="69">
        <f t="shared" si="41"/>
        <v>5</v>
      </c>
      <c r="D81" s="69" t="str">
        <f t="shared" si="55"/>
        <v>AB Power</v>
      </c>
      <c r="F81" s="70">
        <v>2012</v>
      </c>
      <c r="G81" s="372">
        <v>1582.8</v>
      </c>
      <c r="H81" s="372"/>
      <c r="I81" s="372"/>
      <c r="J81" s="76">
        <f t="shared" si="51"/>
        <v>0.19235094907239123</v>
      </c>
      <c r="K81" s="71"/>
      <c r="L81" s="71"/>
      <c r="M81" s="71"/>
      <c r="N81" s="71"/>
      <c r="O81" s="372">
        <v>37408.536119999997</v>
      </c>
      <c r="P81" s="76">
        <f>O81/$O$224</f>
        <v>4.5338373924740362E-2</v>
      </c>
      <c r="Q81" s="76"/>
      <c r="R81" s="372">
        <v>2667009</v>
      </c>
      <c r="S81" s="372"/>
      <c r="T81" s="372">
        <v>2667009</v>
      </c>
      <c r="U81" s="427">
        <f t="shared" si="17"/>
        <v>0</v>
      </c>
      <c r="V81" s="112">
        <f t="shared" si="18"/>
        <v>0</v>
      </c>
      <c r="W81" s="372">
        <v>85756.188306960656</v>
      </c>
      <c r="X81" s="71">
        <f t="shared" si="52"/>
        <v>48347.652186960659</v>
      </c>
      <c r="Y81" s="76">
        <f t="shared" si="56"/>
        <v>0.56378033050982024</v>
      </c>
      <c r="Z81" s="76">
        <f t="shared" si="57"/>
        <v>0.43621966949017976</v>
      </c>
      <c r="AA81" s="126">
        <f t="shared" si="53"/>
        <v>0</v>
      </c>
      <c r="AB81" s="126">
        <f t="shared" si="58"/>
        <v>0.43621966949017976</v>
      </c>
      <c r="AC81" s="126">
        <f t="shared" si="58"/>
        <v>-0.43621966949017976</v>
      </c>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row>
    <row r="82" spans="2:69" x14ac:dyDescent="0.2">
      <c r="B82" s="69">
        <f t="shared" si="54"/>
        <v>1</v>
      </c>
      <c r="C82" s="69">
        <f t="shared" si="41"/>
        <v>5</v>
      </c>
      <c r="D82" s="69" t="str">
        <f t="shared" si="55"/>
        <v>AB Power</v>
      </c>
      <c r="F82" s="70">
        <v>2013</v>
      </c>
      <c r="G82" s="372">
        <v>1668.08</v>
      </c>
      <c r="H82" s="372"/>
      <c r="I82" s="372"/>
      <c r="J82" s="76">
        <f t="shared" si="51"/>
        <v>0.38493542407545256</v>
      </c>
      <c r="K82" s="69"/>
      <c r="L82" s="69"/>
      <c r="M82" s="69"/>
      <c r="N82" s="69"/>
      <c r="O82" s="372">
        <v>36349.305629999995</v>
      </c>
      <c r="P82" s="76">
        <f>O82/$O$225</f>
        <v>4.3173160329753622E-2</v>
      </c>
      <c r="Q82" s="69"/>
      <c r="R82" s="372">
        <v>5624823</v>
      </c>
      <c r="S82" s="372"/>
      <c r="T82" s="372">
        <v>5624823</v>
      </c>
      <c r="U82" s="427">
        <f t="shared" si="17"/>
        <v>0</v>
      </c>
      <c r="V82" s="112">
        <f t="shared" si="18"/>
        <v>0</v>
      </c>
      <c r="W82" s="372">
        <v>212131.39959508958</v>
      </c>
      <c r="X82" s="71">
        <f>W82-O82</f>
        <v>175782.09396508959</v>
      </c>
      <c r="Y82" s="76">
        <f>X82/W82</f>
        <v>0.82864721724656265</v>
      </c>
      <c r="Z82" s="76">
        <f>1-Y82</f>
        <v>0.17135278275343735</v>
      </c>
      <c r="AA82" s="126">
        <f>Z82*Q82</f>
        <v>0</v>
      </c>
      <c r="AB82" s="126">
        <f t="shared" ref="AB82:AC84" si="59">Z82-AA82</f>
        <v>0.17135278275343735</v>
      </c>
      <c r="AC82" s="126">
        <f t="shared" si="59"/>
        <v>-0.17135278275343735</v>
      </c>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row>
    <row r="83" spans="2:69" x14ac:dyDescent="0.2">
      <c r="B83" s="69">
        <f t="shared" si="54"/>
        <v>1</v>
      </c>
      <c r="C83" s="69">
        <f t="shared" si="41"/>
        <v>5</v>
      </c>
      <c r="D83" s="69" t="str">
        <f t="shared" si="55"/>
        <v>AB Power</v>
      </c>
      <c r="F83" s="70">
        <v>2014</v>
      </c>
      <c r="G83" s="372">
        <v>1668.08</v>
      </c>
      <c r="H83" s="372"/>
      <c r="I83" s="372"/>
      <c r="J83" s="76">
        <f t="shared" si="51"/>
        <v>0.26641223311125317</v>
      </c>
      <c r="K83" s="69"/>
      <c r="L83" s="69"/>
      <c r="M83" s="69"/>
      <c r="N83" s="69"/>
      <c r="O83" s="372">
        <v>46029.29739</v>
      </c>
      <c r="P83" s="76">
        <f>O83/$O$226</f>
        <v>5.319235492859134E-2</v>
      </c>
      <c r="Q83" s="69"/>
      <c r="R83" s="372">
        <v>3892917</v>
      </c>
      <c r="S83" s="372"/>
      <c r="T83" s="372">
        <v>3892917</v>
      </c>
      <c r="U83" s="427">
        <f t="shared" si="17"/>
        <v>0</v>
      </c>
      <c r="V83" s="112">
        <f t="shared" si="18"/>
        <v>0</v>
      </c>
      <c r="W83" s="372">
        <v>217297.25080730164</v>
      </c>
      <c r="X83" s="71">
        <f>W83-O83</f>
        <v>171267.95341730164</v>
      </c>
      <c r="Y83" s="76">
        <f>X83/W83</f>
        <v>0.78817358609465982</v>
      </c>
      <c r="Z83" s="76">
        <f>1-Y83</f>
        <v>0.21182641390534018</v>
      </c>
      <c r="AA83" s="126">
        <f>Z83*Q83</f>
        <v>0</v>
      </c>
      <c r="AB83" s="126">
        <f t="shared" si="59"/>
        <v>0.21182641390534018</v>
      </c>
      <c r="AC83" s="126">
        <f t="shared" si="59"/>
        <v>-0.21182641390534018</v>
      </c>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row>
    <row r="84" spans="2:69" x14ac:dyDescent="0.2">
      <c r="B84" s="72">
        <f>'OPG hydro peers'!B10</f>
        <v>1</v>
      </c>
      <c r="C84" s="72">
        <f t="shared" si="41"/>
        <v>6</v>
      </c>
      <c r="D84" s="72" t="str">
        <f>'OPG hydro peers'!D10</f>
        <v>SoCal Edison</v>
      </c>
      <c r="F84" s="73">
        <v>2002</v>
      </c>
      <c r="G84" s="374">
        <v>1092.8</v>
      </c>
      <c r="H84" s="374"/>
      <c r="I84" s="374"/>
      <c r="J84" s="75">
        <f t="shared" ref="J84:J96" si="60">R84/(G84*8760)</f>
        <v>0.34618558773240538</v>
      </c>
      <c r="K84" s="127"/>
      <c r="L84" s="127"/>
      <c r="M84" s="127"/>
      <c r="N84" s="127"/>
      <c r="O84" s="373">
        <v>23805.640169999999</v>
      </c>
      <c r="P84" s="75">
        <f>O84/$O$214</f>
        <v>4.6010530241485506E-2</v>
      </c>
      <c r="Q84" s="75"/>
      <c r="R84" s="374">
        <v>3314009.7059999998</v>
      </c>
      <c r="S84" s="374"/>
      <c r="T84" s="374">
        <v>3734948</v>
      </c>
      <c r="U84" s="427">
        <f t="shared" ref="U84:U147" si="61">R84-T84</f>
        <v>-420938.29400000023</v>
      </c>
      <c r="V84" s="112">
        <f t="shared" ref="V84:V147" si="62">U84/R84</f>
        <v>-0.12701782171545645</v>
      </c>
      <c r="W84" s="373">
        <v>111057.38200340806</v>
      </c>
      <c r="X84" s="127">
        <f t="shared" ref="X84:X94" si="63">W84-O84</f>
        <v>87251.741833408058</v>
      </c>
      <c r="Y84" s="75">
        <f>X84/W84</f>
        <v>0.78564558482686486</v>
      </c>
      <c r="Z84" s="75">
        <f>1-Y84</f>
        <v>0.21435441517313514</v>
      </c>
      <c r="AA84" s="125">
        <f t="shared" ref="AA84:AA94" si="64">Z84*Q84</f>
        <v>0</v>
      </c>
      <c r="AB84" s="125">
        <f t="shared" si="59"/>
        <v>0.21435441517313514</v>
      </c>
      <c r="AC84" s="125">
        <f t="shared" si="59"/>
        <v>-0.21435441517313514</v>
      </c>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row>
    <row r="85" spans="2:69" x14ac:dyDescent="0.2">
      <c r="B85" s="72">
        <f t="shared" ref="B85:B96" si="65">B84</f>
        <v>1</v>
      </c>
      <c r="C85" s="72">
        <f t="shared" si="41"/>
        <v>6</v>
      </c>
      <c r="D85" s="72" t="str">
        <f t="shared" ref="D85:D96" si="66">D84</f>
        <v>SoCal Edison</v>
      </c>
      <c r="F85" s="73">
        <v>2003</v>
      </c>
      <c r="G85" s="374">
        <v>1093</v>
      </c>
      <c r="H85" s="374"/>
      <c r="I85" s="374"/>
      <c r="J85" s="75">
        <f t="shared" si="60"/>
        <v>0.39717846403221829</v>
      </c>
      <c r="K85" s="127"/>
      <c r="L85" s="127"/>
      <c r="M85" s="127"/>
      <c r="N85" s="127"/>
      <c r="O85" s="373">
        <v>23797.734960000002</v>
      </c>
      <c r="P85" s="75">
        <f>O85/$O$215</f>
        <v>4.2432110068922599E-2</v>
      </c>
      <c r="Q85" s="75"/>
      <c r="R85" s="374">
        <v>3802856.696</v>
      </c>
      <c r="S85" s="374"/>
      <c r="T85" s="374">
        <v>4144822</v>
      </c>
      <c r="U85" s="427">
        <f t="shared" si="61"/>
        <v>-341965.304</v>
      </c>
      <c r="V85" s="112">
        <f t="shared" si="62"/>
        <v>-8.9923268567993389E-2</v>
      </c>
      <c r="W85" s="373">
        <v>152812.78043079571</v>
      </c>
      <c r="X85" s="127">
        <f t="shared" si="63"/>
        <v>129015.04547079571</v>
      </c>
      <c r="Y85" s="75">
        <f t="shared" ref="Y85:Y94" si="67">X85/W85</f>
        <v>0.84426868686695167</v>
      </c>
      <c r="Z85" s="75">
        <f t="shared" ref="Z85:Z94" si="68">1-Y85</f>
        <v>0.15573131313304833</v>
      </c>
      <c r="AA85" s="125">
        <f t="shared" si="64"/>
        <v>0</v>
      </c>
      <c r="AB85" s="125">
        <f t="shared" ref="AB85:AC94" si="69">Z85-AA85</f>
        <v>0.15573131313304833</v>
      </c>
      <c r="AC85" s="125">
        <f t="shared" si="69"/>
        <v>-0.15573131313304833</v>
      </c>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row>
    <row r="86" spans="2:69" x14ac:dyDescent="0.2">
      <c r="B86" s="72">
        <f t="shared" si="65"/>
        <v>1</v>
      </c>
      <c r="C86" s="72">
        <f t="shared" si="41"/>
        <v>6</v>
      </c>
      <c r="D86" s="72" t="str">
        <f t="shared" si="66"/>
        <v>SoCal Edison</v>
      </c>
      <c r="F86" s="73">
        <v>2004</v>
      </c>
      <c r="G86" s="374">
        <v>1093</v>
      </c>
      <c r="H86" s="374"/>
      <c r="I86" s="374"/>
      <c r="J86" s="75">
        <f t="shared" si="60"/>
        <v>0.34961188196367921</v>
      </c>
      <c r="K86" s="127"/>
      <c r="L86" s="127"/>
      <c r="M86" s="127"/>
      <c r="N86" s="127"/>
      <c r="O86" s="373">
        <v>25166.048460000002</v>
      </c>
      <c r="P86" s="75">
        <f>O86/$O$216</f>
        <v>4.1895756783580811E-2</v>
      </c>
      <c r="Q86" s="75"/>
      <c r="R86" s="374">
        <v>3347421.8939999999</v>
      </c>
      <c r="S86" s="374"/>
      <c r="T86" s="374">
        <v>3625740</v>
      </c>
      <c r="U86" s="427">
        <f t="shared" si="61"/>
        <v>-278318.10600000015</v>
      </c>
      <c r="V86" s="112">
        <f t="shared" si="62"/>
        <v>-8.3144017937764061E-2</v>
      </c>
      <c r="W86" s="373">
        <v>149508.48658498164</v>
      </c>
      <c r="X86" s="127">
        <f t="shared" si="63"/>
        <v>124342.43812498164</v>
      </c>
      <c r="Y86" s="75">
        <f t="shared" si="67"/>
        <v>0.83167478291812247</v>
      </c>
      <c r="Z86" s="75">
        <f t="shared" si="68"/>
        <v>0.16832521708187753</v>
      </c>
      <c r="AA86" s="125">
        <f t="shared" si="64"/>
        <v>0</v>
      </c>
      <c r="AB86" s="125">
        <f t="shared" si="69"/>
        <v>0.16832521708187753</v>
      </c>
      <c r="AC86" s="125">
        <f t="shared" si="69"/>
        <v>-0.16832521708187753</v>
      </c>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row>
    <row r="87" spans="2:69" x14ac:dyDescent="0.2">
      <c r="B87" s="72">
        <f t="shared" si="65"/>
        <v>1</v>
      </c>
      <c r="C87" s="72">
        <f t="shared" si="41"/>
        <v>6</v>
      </c>
      <c r="D87" s="72" t="str">
        <f t="shared" si="66"/>
        <v>SoCal Edison</v>
      </c>
      <c r="F87" s="73">
        <v>2005</v>
      </c>
      <c r="G87" s="374">
        <v>1093</v>
      </c>
      <c r="H87" s="374"/>
      <c r="I87" s="374"/>
      <c r="J87" s="75">
        <f t="shared" si="60"/>
        <v>0.50361140006767846</v>
      </c>
      <c r="K87" s="127"/>
      <c r="L87" s="127"/>
      <c r="M87" s="127"/>
      <c r="N87" s="127"/>
      <c r="O87" s="373">
        <v>24385.87545</v>
      </c>
      <c r="P87" s="75">
        <f>O87/$O$217</f>
        <v>3.9037209379899976E-2</v>
      </c>
      <c r="Q87" s="75"/>
      <c r="R87" s="374">
        <v>4821918</v>
      </c>
      <c r="S87" s="374"/>
      <c r="T87" s="374">
        <v>5191449</v>
      </c>
      <c r="U87" s="427">
        <f t="shared" si="61"/>
        <v>-369531</v>
      </c>
      <c r="V87" s="112">
        <f t="shared" si="62"/>
        <v>-7.6635687292898796E-2</v>
      </c>
      <c r="W87" s="373">
        <v>305762.74684917438</v>
      </c>
      <c r="X87" s="127">
        <f t="shared" si="63"/>
        <v>281376.87139917439</v>
      </c>
      <c r="Y87" s="75">
        <f t="shared" si="67"/>
        <v>0.92024576014805037</v>
      </c>
      <c r="Z87" s="75">
        <f t="shared" si="68"/>
        <v>7.9754239851949627E-2</v>
      </c>
      <c r="AA87" s="125">
        <f t="shared" si="64"/>
        <v>0</v>
      </c>
      <c r="AB87" s="125">
        <f t="shared" si="69"/>
        <v>7.9754239851949627E-2</v>
      </c>
      <c r="AC87" s="125">
        <f t="shared" si="69"/>
        <v>-7.9754239851949627E-2</v>
      </c>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row>
    <row r="88" spans="2:69" x14ac:dyDescent="0.2">
      <c r="B88" s="72">
        <f t="shared" si="65"/>
        <v>1</v>
      </c>
      <c r="C88" s="72">
        <f t="shared" si="41"/>
        <v>6</v>
      </c>
      <c r="D88" s="72" t="str">
        <f t="shared" si="66"/>
        <v>SoCal Edison</v>
      </c>
      <c r="F88" s="73">
        <v>2006</v>
      </c>
      <c r="G88" s="374">
        <v>1093</v>
      </c>
      <c r="H88" s="374"/>
      <c r="I88" s="374"/>
      <c r="J88" s="75">
        <f t="shared" si="60"/>
        <v>0.49851377539510461</v>
      </c>
      <c r="K88" s="127"/>
      <c r="L88" s="127"/>
      <c r="M88" s="127"/>
      <c r="N88" s="127"/>
      <c r="O88" s="373">
        <v>29579.175299999999</v>
      </c>
      <c r="P88" s="75">
        <f>O88/$O$218</f>
        <v>4.4517942748211102E-2</v>
      </c>
      <c r="Q88" s="75"/>
      <c r="R88" s="374">
        <v>4773109.875</v>
      </c>
      <c r="S88" s="374"/>
      <c r="T88" s="374">
        <v>5200974</v>
      </c>
      <c r="U88" s="427">
        <f t="shared" si="61"/>
        <v>-427864.125</v>
      </c>
      <c r="V88" s="112">
        <f t="shared" si="62"/>
        <v>-8.9640535459075299E-2</v>
      </c>
      <c r="W88" s="373">
        <v>269657.49912029743</v>
      </c>
      <c r="X88" s="127">
        <f t="shared" si="63"/>
        <v>240078.32382029743</v>
      </c>
      <c r="Y88" s="75">
        <f t="shared" si="67"/>
        <v>0.89030835264550023</v>
      </c>
      <c r="Z88" s="75">
        <f t="shared" si="68"/>
        <v>0.10969164735449977</v>
      </c>
      <c r="AA88" s="125">
        <f t="shared" si="64"/>
        <v>0</v>
      </c>
      <c r="AB88" s="125">
        <f t="shared" si="69"/>
        <v>0.10969164735449977</v>
      </c>
      <c r="AC88" s="125">
        <f t="shared" si="69"/>
        <v>-0.10969164735449977</v>
      </c>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row>
    <row r="89" spans="2:69" x14ac:dyDescent="0.2">
      <c r="B89" s="72">
        <f t="shared" si="65"/>
        <v>1</v>
      </c>
      <c r="C89" s="72">
        <f t="shared" si="41"/>
        <v>6</v>
      </c>
      <c r="D89" s="72" t="str">
        <f t="shared" si="66"/>
        <v>SoCal Edison</v>
      </c>
      <c r="F89" s="73">
        <v>2007</v>
      </c>
      <c r="G89" s="374">
        <v>1105</v>
      </c>
      <c r="H89" s="374"/>
      <c r="I89" s="374"/>
      <c r="J89" s="75">
        <f t="shared" si="60"/>
        <v>0.25293126490216744</v>
      </c>
      <c r="K89" s="127"/>
      <c r="L89" s="127"/>
      <c r="M89" s="127"/>
      <c r="N89" s="127"/>
      <c r="O89" s="373">
        <v>35054.246009999995</v>
      </c>
      <c r="P89" s="75">
        <f>O89/$O$219</f>
        <v>4.8600543395825813E-2</v>
      </c>
      <c r="Q89" s="75"/>
      <c r="R89" s="374">
        <v>2448324.0580000002</v>
      </c>
      <c r="S89" s="374"/>
      <c r="T89" s="374">
        <v>2609342</v>
      </c>
      <c r="U89" s="427">
        <f t="shared" si="61"/>
        <v>-161017.94199999981</v>
      </c>
      <c r="V89" s="112">
        <f t="shared" si="62"/>
        <v>-6.5766597143816413E-2</v>
      </c>
      <c r="W89" s="373">
        <v>144854.42840737474</v>
      </c>
      <c r="X89" s="127">
        <f t="shared" si="63"/>
        <v>109800.18239737474</v>
      </c>
      <c r="Y89" s="75">
        <f t="shared" si="67"/>
        <v>0.75800362891621931</v>
      </c>
      <c r="Z89" s="75">
        <f t="shared" si="68"/>
        <v>0.24199637108378069</v>
      </c>
      <c r="AA89" s="125">
        <f t="shared" si="64"/>
        <v>0</v>
      </c>
      <c r="AB89" s="125">
        <f t="shared" si="69"/>
        <v>0.24199637108378069</v>
      </c>
      <c r="AC89" s="125">
        <f t="shared" si="69"/>
        <v>-0.24199637108378069</v>
      </c>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row>
    <row r="90" spans="2:69" x14ac:dyDescent="0.2">
      <c r="B90" s="72">
        <f t="shared" si="65"/>
        <v>1</v>
      </c>
      <c r="C90" s="72">
        <f t="shared" si="41"/>
        <v>6</v>
      </c>
      <c r="D90" s="72" t="str">
        <f t="shared" si="66"/>
        <v>SoCal Edison</v>
      </c>
      <c r="F90" s="73">
        <v>2008</v>
      </c>
      <c r="G90" s="374">
        <v>1105</v>
      </c>
      <c r="H90" s="374"/>
      <c r="I90" s="374"/>
      <c r="J90" s="75">
        <f t="shared" si="60"/>
        <v>0.25364936207359656</v>
      </c>
      <c r="K90" s="127"/>
      <c r="L90" s="127"/>
      <c r="M90" s="127"/>
      <c r="N90" s="127"/>
      <c r="O90" s="373">
        <v>32886.636689999992</v>
      </c>
      <c r="P90" s="75">
        <f>O90/$O$220</f>
        <v>4.2073465148944118E-2</v>
      </c>
      <c r="Q90" s="75"/>
      <c r="R90" s="374">
        <v>2455275.0950000002</v>
      </c>
      <c r="S90" s="374"/>
      <c r="T90" s="374">
        <v>2665953</v>
      </c>
      <c r="U90" s="427">
        <f t="shared" si="61"/>
        <v>-210677.9049999998</v>
      </c>
      <c r="V90" s="112">
        <f t="shared" si="62"/>
        <v>-8.5806232234029875E-2</v>
      </c>
      <c r="W90" s="373">
        <v>210255.59549800411</v>
      </c>
      <c r="X90" s="127">
        <f t="shared" si="63"/>
        <v>177368.95880800413</v>
      </c>
      <c r="Y90" s="75">
        <f t="shared" si="67"/>
        <v>0.84358734133992563</v>
      </c>
      <c r="Z90" s="75">
        <f t="shared" si="68"/>
        <v>0.15641265866007437</v>
      </c>
      <c r="AA90" s="125">
        <f t="shared" si="64"/>
        <v>0</v>
      </c>
      <c r="AB90" s="125">
        <f t="shared" si="69"/>
        <v>0.15641265866007437</v>
      </c>
      <c r="AC90" s="125">
        <f t="shared" si="69"/>
        <v>-0.15641265866007437</v>
      </c>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row>
    <row r="91" spans="2:69" x14ac:dyDescent="0.2">
      <c r="B91" s="72">
        <f t="shared" si="65"/>
        <v>1</v>
      </c>
      <c r="C91" s="72">
        <f t="shared" si="41"/>
        <v>6</v>
      </c>
      <c r="D91" s="72" t="str">
        <f t="shared" si="66"/>
        <v>SoCal Edison</v>
      </c>
      <c r="F91" s="73">
        <v>2009</v>
      </c>
      <c r="G91" s="374">
        <v>1105</v>
      </c>
      <c r="H91" s="374"/>
      <c r="I91" s="374"/>
      <c r="J91" s="75">
        <f t="shared" si="60"/>
        <v>0.36861152441166145</v>
      </c>
      <c r="K91" s="127"/>
      <c r="L91" s="127"/>
      <c r="M91" s="127"/>
      <c r="N91" s="127"/>
      <c r="O91" s="373">
        <v>39833.376570000008</v>
      </c>
      <c r="P91" s="75">
        <f>O91/$O$221</f>
        <v>5.095259031884472E-2</v>
      </c>
      <c r="Q91" s="75"/>
      <c r="R91" s="374">
        <v>3568085.8340000003</v>
      </c>
      <c r="S91" s="374"/>
      <c r="T91" s="374">
        <v>3828719</v>
      </c>
      <c r="U91" s="427">
        <f t="shared" si="61"/>
        <v>-260633.16599999974</v>
      </c>
      <c r="V91" s="112">
        <f t="shared" si="62"/>
        <v>-7.3045654764369028E-2</v>
      </c>
      <c r="W91" s="373">
        <v>130952.20480939627</v>
      </c>
      <c r="X91" s="127">
        <f t="shared" si="63"/>
        <v>91118.828239396258</v>
      </c>
      <c r="Y91" s="75">
        <f t="shared" si="67"/>
        <v>0.69581744249378363</v>
      </c>
      <c r="Z91" s="75">
        <f t="shared" si="68"/>
        <v>0.30418255750621637</v>
      </c>
      <c r="AA91" s="125">
        <f t="shared" si="64"/>
        <v>0</v>
      </c>
      <c r="AB91" s="125">
        <f t="shared" si="69"/>
        <v>0.30418255750621637</v>
      </c>
      <c r="AC91" s="125">
        <f t="shared" si="69"/>
        <v>-0.30418255750621637</v>
      </c>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row>
    <row r="92" spans="2:69" x14ac:dyDescent="0.2">
      <c r="B92" s="72">
        <f t="shared" si="65"/>
        <v>1</v>
      </c>
      <c r="C92" s="72">
        <f t="shared" si="41"/>
        <v>6</v>
      </c>
      <c r="D92" s="72" t="str">
        <f t="shared" si="66"/>
        <v>SoCal Edison</v>
      </c>
      <c r="F92" s="73">
        <v>2010</v>
      </c>
      <c r="G92" s="374">
        <v>1105</v>
      </c>
      <c r="H92" s="374"/>
      <c r="I92" s="374"/>
      <c r="J92" s="75">
        <f t="shared" si="60"/>
        <v>0.42411203857517715</v>
      </c>
      <c r="K92" s="127"/>
      <c r="L92" s="127"/>
      <c r="M92" s="127"/>
      <c r="N92" s="127"/>
      <c r="O92" s="373">
        <v>44792.563139999998</v>
      </c>
      <c r="P92" s="75">
        <f>O92/$O$222</f>
        <v>5.3301917023250212E-2</v>
      </c>
      <c r="Q92" s="75"/>
      <c r="R92" s="374">
        <v>4105319.7109999997</v>
      </c>
      <c r="S92" s="374"/>
      <c r="T92" s="374">
        <v>4398105</v>
      </c>
      <c r="U92" s="427">
        <f t="shared" si="61"/>
        <v>-292785.28900000034</v>
      </c>
      <c r="V92" s="112">
        <f t="shared" si="62"/>
        <v>-7.1318511007923871E-2</v>
      </c>
      <c r="W92" s="373">
        <v>172448.17313495191</v>
      </c>
      <c r="X92" s="127">
        <f t="shared" si="63"/>
        <v>127655.60999495191</v>
      </c>
      <c r="Y92" s="75">
        <f t="shared" si="67"/>
        <v>0.74025492804178972</v>
      </c>
      <c r="Z92" s="75">
        <f t="shared" si="68"/>
        <v>0.25974507195821028</v>
      </c>
      <c r="AA92" s="125">
        <f t="shared" si="64"/>
        <v>0</v>
      </c>
      <c r="AB92" s="125">
        <f t="shared" si="69"/>
        <v>0.25974507195821028</v>
      </c>
      <c r="AC92" s="125">
        <f t="shared" si="69"/>
        <v>-0.25974507195821028</v>
      </c>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row>
    <row r="93" spans="2:69" x14ac:dyDescent="0.2">
      <c r="B93" s="72">
        <f t="shared" si="65"/>
        <v>1</v>
      </c>
      <c r="C93" s="72">
        <f t="shared" si="41"/>
        <v>6</v>
      </c>
      <c r="D93" s="72" t="str">
        <f t="shared" si="66"/>
        <v>SoCal Edison</v>
      </c>
      <c r="F93" s="73">
        <v>2011</v>
      </c>
      <c r="G93" s="374">
        <v>1112.2</v>
      </c>
      <c r="H93" s="374"/>
      <c r="I93" s="374"/>
      <c r="J93" s="75">
        <f t="shared" si="60"/>
        <v>0.47249197926443043</v>
      </c>
      <c r="K93" s="127"/>
      <c r="L93" s="127"/>
      <c r="M93" s="127"/>
      <c r="N93" s="127"/>
      <c r="O93" s="373">
        <v>48341.319779999998</v>
      </c>
      <c r="P93" s="75">
        <f>O93/$O$223</f>
        <v>5.940088795176586E-2</v>
      </c>
      <c r="Q93" s="75"/>
      <c r="R93" s="374">
        <v>4603428.875</v>
      </c>
      <c r="S93" s="374"/>
      <c r="T93" s="374">
        <v>4909772</v>
      </c>
      <c r="U93" s="427">
        <f t="shared" si="61"/>
        <v>-306343.125</v>
      </c>
      <c r="V93" s="112">
        <f t="shared" si="62"/>
        <v>-6.6546727085036145E-2</v>
      </c>
      <c r="W93" s="373">
        <v>174963.1178361575</v>
      </c>
      <c r="X93" s="127">
        <f t="shared" si="63"/>
        <v>126621.79805615751</v>
      </c>
      <c r="Y93" s="75">
        <f t="shared" si="67"/>
        <v>0.72370565649573793</v>
      </c>
      <c r="Z93" s="75">
        <f t="shared" si="68"/>
        <v>0.27629434350426207</v>
      </c>
      <c r="AA93" s="125">
        <f t="shared" si="64"/>
        <v>0</v>
      </c>
      <c r="AB93" s="125">
        <f t="shared" si="69"/>
        <v>0.27629434350426207</v>
      </c>
      <c r="AC93" s="125">
        <f t="shared" si="69"/>
        <v>-0.27629434350426207</v>
      </c>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row>
    <row r="94" spans="2:69" x14ac:dyDescent="0.2">
      <c r="B94" s="72">
        <f t="shared" si="65"/>
        <v>1</v>
      </c>
      <c r="C94" s="72">
        <f t="shared" ref="C94:C130" si="70">IF(D94=D93,C93,C93+1)</f>
        <v>6</v>
      </c>
      <c r="D94" s="72" t="str">
        <f t="shared" si="66"/>
        <v>SoCal Edison</v>
      </c>
      <c r="F94" s="73">
        <v>2012</v>
      </c>
      <c r="G94" s="374">
        <v>1112.4000000000001</v>
      </c>
      <c r="H94" s="374"/>
      <c r="I94" s="374"/>
      <c r="J94" s="75">
        <f t="shared" si="60"/>
        <v>0.26943407831846561</v>
      </c>
      <c r="K94" s="127"/>
      <c r="L94" s="127"/>
      <c r="M94" s="127"/>
      <c r="N94" s="127"/>
      <c r="O94" s="373">
        <v>40212.992700000003</v>
      </c>
      <c r="P94" s="75">
        <f>O94/$O$224</f>
        <v>4.8737317435169784E-2</v>
      </c>
      <c r="Q94" s="75"/>
      <c r="R94" s="374">
        <v>2625533.7859999998</v>
      </c>
      <c r="S94" s="374"/>
      <c r="T94" s="374">
        <v>2823925</v>
      </c>
      <c r="U94" s="427">
        <f t="shared" si="61"/>
        <v>-198391.21400000015</v>
      </c>
      <c r="V94" s="112">
        <f t="shared" si="62"/>
        <v>-7.5562239974923007E-2</v>
      </c>
      <c r="W94" s="373">
        <v>90374.503148488235</v>
      </c>
      <c r="X94" s="127">
        <f t="shared" si="63"/>
        <v>50161.510448488232</v>
      </c>
      <c r="Y94" s="75">
        <f t="shared" si="67"/>
        <v>0.55504051143795774</v>
      </c>
      <c r="Z94" s="75">
        <f t="shared" si="68"/>
        <v>0.44495948856204226</v>
      </c>
      <c r="AA94" s="125">
        <f t="shared" si="64"/>
        <v>0</v>
      </c>
      <c r="AB94" s="125">
        <f t="shared" si="69"/>
        <v>0.44495948856204226</v>
      </c>
      <c r="AC94" s="125">
        <f t="shared" si="69"/>
        <v>-0.44495948856204226</v>
      </c>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row>
    <row r="95" spans="2:69" x14ac:dyDescent="0.2">
      <c r="B95" s="72">
        <f t="shared" si="65"/>
        <v>1</v>
      </c>
      <c r="C95" s="72">
        <f t="shared" si="70"/>
        <v>6</v>
      </c>
      <c r="D95" s="72" t="str">
        <f t="shared" si="66"/>
        <v>SoCal Edison</v>
      </c>
      <c r="F95" s="73">
        <v>2013</v>
      </c>
      <c r="G95" s="374">
        <v>1112.4000000000001</v>
      </c>
      <c r="H95" s="374"/>
      <c r="I95" s="374"/>
      <c r="J95" s="75">
        <f t="shared" si="60"/>
        <v>0.23137492539476126</v>
      </c>
      <c r="K95" s="127"/>
      <c r="L95" s="127"/>
      <c r="M95" s="127"/>
      <c r="N95" s="127"/>
      <c r="O95" s="373">
        <v>46789.833449999998</v>
      </c>
      <c r="P95" s="75">
        <f>O95/$O$225</f>
        <v>5.5573688309250906E-2</v>
      </c>
      <c r="Q95" s="72"/>
      <c r="R95" s="374">
        <v>2254661.6510000001</v>
      </c>
      <c r="S95" s="374"/>
      <c r="T95" s="374">
        <v>2401038</v>
      </c>
      <c r="U95" s="427">
        <f t="shared" si="61"/>
        <v>-146376.34899999993</v>
      </c>
      <c r="V95" s="112">
        <f t="shared" si="62"/>
        <v>-6.4921647527502971E-2</v>
      </c>
      <c r="W95" s="373">
        <v>112299.99682377835</v>
      </c>
      <c r="X95" s="127">
        <f>W95-O95</f>
        <v>65510.163373778349</v>
      </c>
      <c r="Y95" s="75">
        <f>X95/W95</f>
        <v>0.58334964582926208</v>
      </c>
      <c r="Z95" s="75">
        <f>1-Y95</f>
        <v>0.41665035417073792</v>
      </c>
      <c r="AA95" s="125">
        <f>Z95*Q95</f>
        <v>0</v>
      </c>
      <c r="AB95" s="125">
        <f t="shared" ref="AB95:AC97" si="71">Z95-AA95</f>
        <v>0.41665035417073792</v>
      </c>
      <c r="AC95" s="125">
        <f t="shared" si="71"/>
        <v>-0.41665035417073792</v>
      </c>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row>
    <row r="96" spans="2:69" x14ac:dyDescent="0.2">
      <c r="B96" s="72">
        <f t="shared" si="65"/>
        <v>1</v>
      </c>
      <c r="C96" s="72">
        <f t="shared" si="70"/>
        <v>6</v>
      </c>
      <c r="D96" s="72" t="str">
        <f t="shared" si="66"/>
        <v>SoCal Edison</v>
      </c>
      <c r="F96" s="73">
        <v>2014</v>
      </c>
      <c r="G96" s="374">
        <v>1112.4000000000001</v>
      </c>
      <c r="H96" s="374"/>
      <c r="I96" s="374"/>
      <c r="J96" s="75">
        <f t="shared" si="60"/>
        <v>0.15834696505478302</v>
      </c>
      <c r="K96" s="127"/>
      <c r="L96" s="127"/>
      <c r="M96" s="127"/>
      <c r="N96" s="127"/>
      <c r="O96" s="373">
        <v>34259.181389999998</v>
      </c>
      <c r="P96" s="75">
        <f>O96/$O$226</f>
        <v>3.9590579030992924E-2</v>
      </c>
      <c r="Q96" s="72"/>
      <c r="R96" s="374">
        <v>1543031.6359999999</v>
      </c>
      <c r="S96" s="374"/>
      <c r="T96" s="374">
        <v>1672396</v>
      </c>
      <c r="U96" s="427">
        <f t="shared" si="61"/>
        <v>-129364.36400000006</v>
      </c>
      <c r="V96" s="112">
        <f t="shared" si="62"/>
        <v>-8.3837791126143868E-2</v>
      </c>
      <c r="W96" s="373">
        <v>86708.726111849886</v>
      </c>
      <c r="X96" s="127">
        <f>W96-O96</f>
        <v>52449.544721849888</v>
      </c>
      <c r="Y96" s="75">
        <f>X96/W96</f>
        <v>0.60489349888721256</v>
      </c>
      <c r="Z96" s="75">
        <f>1-Y96</f>
        <v>0.39510650111278744</v>
      </c>
      <c r="AA96" s="125">
        <f>Z96*Q96</f>
        <v>0</v>
      </c>
      <c r="AB96" s="125">
        <f t="shared" si="71"/>
        <v>0.39510650111278744</v>
      </c>
      <c r="AC96" s="125">
        <f t="shared" si="71"/>
        <v>-0.39510650111278744</v>
      </c>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row>
    <row r="97" spans="2:69" x14ac:dyDescent="0.2">
      <c r="B97" s="69">
        <f>'OPG hydro peers'!B11</f>
        <v>1</v>
      </c>
      <c r="C97" s="69">
        <f t="shared" si="70"/>
        <v>7</v>
      </c>
      <c r="D97" s="69" t="str">
        <f>'OPG hydro peers'!D11</f>
        <v>GA Power</v>
      </c>
      <c r="F97" s="70">
        <v>2002</v>
      </c>
      <c r="G97" s="372">
        <v>1058</v>
      </c>
      <c r="H97" s="372"/>
      <c r="I97" s="372"/>
      <c r="J97" s="76">
        <f t="shared" ref="J97:J109" si="72">R97/(G97*8760)</f>
        <v>0.18570764797023764</v>
      </c>
      <c r="K97" s="71"/>
      <c r="L97" s="71"/>
      <c r="M97" s="71"/>
      <c r="N97" s="71"/>
      <c r="O97" s="372">
        <v>44320.947929999995</v>
      </c>
      <c r="P97" s="76">
        <f>O97/$O$214</f>
        <v>8.5661645748742299E-2</v>
      </c>
      <c r="Q97" s="76"/>
      <c r="R97" s="372">
        <v>1721153.338</v>
      </c>
      <c r="S97" s="372"/>
      <c r="T97" s="372">
        <v>1781533</v>
      </c>
      <c r="U97" s="427">
        <f t="shared" si="61"/>
        <v>-60379.662000000011</v>
      </c>
      <c r="V97" s="112">
        <f t="shared" si="62"/>
        <v>-3.5080931295849486E-2</v>
      </c>
      <c r="W97" s="372">
        <v>29004.408029504597</v>
      </c>
      <c r="X97" s="71">
        <f>W97-O97</f>
        <v>-15316.539900495398</v>
      </c>
      <c r="Y97" s="76">
        <f>AVERAGE($Y$98:$Y$100,$Y$104)</f>
        <v>0.34371795311662784</v>
      </c>
      <c r="Z97" s="76">
        <f>1-Y97</f>
        <v>0.65628204688337211</v>
      </c>
      <c r="AA97" s="126">
        <f t="shared" ref="AA97:AA107" si="73">Z97*Q97</f>
        <v>0</v>
      </c>
      <c r="AB97" s="126">
        <f t="shared" si="71"/>
        <v>0.65628204688337211</v>
      </c>
      <c r="AC97" s="126">
        <f t="shared" si="71"/>
        <v>-0.65628204688337211</v>
      </c>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row>
    <row r="98" spans="2:69" x14ac:dyDescent="0.2">
      <c r="B98" s="69">
        <f t="shared" ref="B98:B109" si="74">B97</f>
        <v>1</v>
      </c>
      <c r="C98" s="69">
        <f t="shared" si="70"/>
        <v>7</v>
      </c>
      <c r="D98" s="69" t="str">
        <f t="shared" ref="D98:D105" si="75">D97</f>
        <v>GA Power</v>
      </c>
      <c r="F98" s="70">
        <v>2003</v>
      </c>
      <c r="G98" s="372">
        <v>1058</v>
      </c>
      <c r="H98" s="372"/>
      <c r="I98" s="372"/>
      <c r="J98" s="76">
        <f t="shared" si="72"/>
        <v>0.30005717667521214</v>
      </c>
      <c r="K98" s="71"/>
      <c r="L98" s="71"/>
      <c r="M98" s="71"/>
      <c r="N98" s="71"/>
      <c r="O98" s="372">
        <v>44236.427249999993</v>
      </c>
      <c r="P98" s="76">
        <f>O98/$O$215</f>
        <v>7.8874941387610392E-2</v>
      </c>
      <c r="Q98" s="76"/>
      <c r="R98" s="372">
        <v>2780953.9180000001</v>
      </c>
      <c r="S98" s="372"/>
      <c r="T98" s="372">
        <v>2883453</v>
      </c>
      <c r="U98" s="427">
        <f t="shared" si="61"/>
        <v>-102499.08199999994</v>
      </c>
      <c r="V98" s="112">
        <f t="shared" si="62"/>
        <v>-3.6857526238232304E-2</v>
      </c>
      <c r="W98" s="372">
        <v>76606.790101084509</v>
      </c>
      <c r="X98" s="71">
        <f t="shared" ref="X98:X107" si="76">W98-O98</f>
        <v>32370.362851084516</v>
      </c>
      <c r="Y98" s="76">
        <f>X98/W98</f>
        <v>0.42255213680629405</v>
      </c>
      <c r="Z98" s="76">
        <f t="shared" ref="Z98:Z107" si="77">1-Y98</f>
        <v>0.57744786319370589</v>
      </c>
      <c r="AA98" s="126">
        <f t="shared" si="73"/>
        <v>0</v>
      </c>
      <c r="AB98" s="126">
        <f t="shared" ref="AB98:AC107" si="78">Z98-AA98</f>
        <v>0.57744786319370589</v>
      </c>
      <c r="AC98" s="126">
        <f t="shared" si="78"/>
        <v>-0.57744786319370589</v>
      </c>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row>
    <row r="99" spans="2:69" x14ac:dyDescent="0.2">
      <c r="B99" s="69">
        <f t="shared" si="74"/>
        <v>1</v>
      </c>
      <c r="C99" s="69">
        <f t="shared" si="70"/>
        <v>7</v>
      </c>
      <c r="D99" s="69" t="str">
        <f t="shared" si="75"/>
        <v>GA Power</v>
      </c>
      <c r="F99" s="70">
        <v>2004</v>
      </c>
      <c r="G99" s="372">
        <v>1058</v>
      </c>
      <c r="H99" s="372"/>
      <c r="I99" s="372"/>
      <c r="J99" s="76">
        <f t="shared" si="72"/>
        <v>0.23902102700883029</v>
      </c>
      <c r="K99" s="71"/>
      <c r="L99" s="71"/>
      <c r="M99" s="71"/>
      <c r="N99" s="71"/>
      <c r="O99" s="372">
        <v>54959.024819999999</v>
      </c>
      <c r="P99" s="76">
        <f>O99/$O$216</f>
        <v>9.1494297985687853E-2</v>
      </c>
      <c r="Q99" s="76"/>
      <c r="R99" s="372">
        <v>2215266</v>
      </c>
      <c r="S99" s="372"/>
      <c r="T99" s="372">
        <v>2348845</v>
      </c>
      <c r="U99" s="427">
        <f t="shared" si="61"/>
        <v>-133579</v>
      </c>
      <c r="V99" s="112">
        <f t="shared" si="62"/>
        <v>-6.0299304914172833E-2</v>
      </c>
      <c r="W99" s="372">
        <v>69633.880138679495</v>
      </c>
      <c r="X99" s="71">
        <f t="shared" si="76"/>
        <v>14674.855318679496</v>
      </c>
      <c r="Y99" s="76">
        <f t="shared" ref="Y99:Y104" si="79">X99/W99</f>
        <v>0.21074303614065104</v>
      </c>
      <c r="Z99" s="76">
        <f t="shared" si="77"/>
        <v>0.78925696385934896</v>
      </c>
      <c r="AA99" s="126">
        <f t="shared" si="73"/>
        <v>0</v>
      </c>
      <c r="AB99" s="126">
        <f t="shared" si="78"/>
        <v>0.78925696385934896</v>
      </c>
      <c r="AC99" s="126">
        <f t="shared" si="78"/>
        <v>-0.78925696385934896</v>
      </c>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row>
    <row r="100" spans="2:69" x14ac:dyDescent="0.2">
      <c r="B100" s="69">
        <f t="shared" si="74"/>
        <v>1</v>
      </c>
      <c r="C100" s="69">
        <f t="shared" si="70"/>
        <v>7</v>
      </c>
      <c r="D100" s="69" t="str">
        <f t="shared" si="75"/>
        <v>GA Power</v>
      </c>
      <c r="F100" s="70">
        <v>2005</v>
      </c>
      <c r="G100" s="372">
        <v>1071</v>
      </c>
      <c r="H100" s="372"/>
      <c r="I100" s="372"/>
      <c r="J100" s="76">
        <f t="shared" si="72"/>
        <v>0.27218443939219522</v>
      </c>
      <c r="K100" s="71"/>
      <c r="L100" s="71"/>
      <c r="M100" s="71"/>
      <c r="N100" s="71"/>
      <c r="O100" s="372">
        <v>61906.180440000004</v>
      </c>
      <c r="P100" s="76">
        <f>O100/$O$217</f>
        <v>9.9100175128063669E-2</v>
      </c>
      <c r="Q100" s="76"/>
      <c r="R100" s="372">
        <v>2553623.523</v>
      </c>
      <c r="S100" s="372"/>
      <c r="T100" s="372">
        <v>2631507</v>
      </c>
      <c r="U100" s="427">
        <f t="shared" si="61"/>
        <v>-77883.476999999955</v>
      </c>
      <c r="V100" s="112">
        <f t="shared" si="62"/>
        <v>-3.0499200958370852E-2</v>
      </c>
      <c r="W100" s="372">
        <v>126548.53607936308</v>
      </c>
      <c r="X100" s="71">
        <f t="shared" si="76"/>
        <v>64642.355639363079</v>
      </c>
      <c r="Y100" s="76">
        <f t="shared" si="79"/>
        <v>0.51081077381111351</v>
      </c>
      <c r="Z100" s="76">
        <f t="shared" si="77"/>
        <v>0.48918922618888649</v>
      </c>
      <c r="AA100" s="126">
        <f t="shared" si="73"/>
        <v>0</v>
      </c>
      <c r="AB100" s="126">
        <f t="shared" si="78"/>
        <v>0.48918922618888649</v>
      </c>
      <c r="AC100" s="126">
        <f t="shared" si="78"/>
        <v>-0.48918922618888649</v>
      </c>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row>
    <row r="101" spans="2:69" x14ac:dyDescent="0.2">
      <c r="B101" s="69">
        <f t="shared" si="74"/>
        <v>1</v>
      </c>
      <c r="C101" s="69">
        <f t="shared" si="70"/>
        <v>7</v>
      </c>
      <c r="D101" s="69" t="str">
        <f t="shared" si="75"/>
        <v>GA Power</v>
      </c>
      <c r="F101" s="70">
        <v>2006</v>
      </c>
      <c r="G101" s="372">
        <v>1071</v>
      </c>
      <c r="H101" s="372"/>
      <c r="I101" s="372"/>
      <c r="J101" s="76">
        <f t="shared" si="72"/>
        <v>0.1893381553534656</v>
      </c>
      <c r="K101" s="71"/>
      <c r="L101" s="71"/>
      <c r="M101" s="71"/>
      <c r="N101" s="71"/>
      <c r="O101" s="372">
        <v>62726.312460000001</v>
      </c>
      <c r="P101" s="76">
        <f>O101/$O$218</f>
        <v>9.4405822967643077E-2</v>
      </c>
      <c r="Q101" s="76"/>
      <c r="R101" s="372">
        <v>1776363</v>
      </c>
      <c r="S101" s="372"/>
      <c r="T101" s="372">
        <v>1830634</v>
      </c>
      <c r="U101" s="427">
        <f t="shared" si="61"/>
        <v>-54271</v>
      </c>
      <c r="V101" s="112">
        <f t="shared" si="62"/>
        <v>-3.0551750965315084E-2</v>
      </c>
      <c r="W101" s="372">
        <v>61707.936076715436</v>
      </c>
      <c r="X101" s="71">
        <f t="shared" si="76"/>
        <v>-1018.3763832845652</v>
      </c>
      <c r="Y101" s="76">
        <f>AVERAGE($Y$98:$Y$100,$Y$104)</f>
        <v>0.34371795311662784</v>
      </c>
      <c r="Z101" s="76">
        <f t="shared" si="77"/>
        <v>0.65628204688337211</v>
      </c>
      <c r="AA101" s="126">
        <f t="shared" si="73"/>
        <v>0</v>
      </c>
      <c r="AB101" s="126">
        <f t="shared" si="78"/>
        <v>0.65628204688337211</v>
      </c>
      <c r="AC101" s="126">
        <f t="shared" si="78"/>
        <v>-0.65628204688337211</v>
      </c>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row>
    <row r="102" spans="2:69" x14ac:dyDescent="0.2">
      <c r="B102" s="69">
        <f t="shared" si="74"/>
        <v>1</v>
      </c>
      <c r="C102" s="69">
        <f t="shared" si="70"/>
        <v>7</v>
      </c>
      <c r="D102" s="69" t="str">
        <f t="shared" si="75"/>
        <v>GA Power</v>
      </c>
      <c r="F102" s="70">
        <v>2007</v>
      </c>
      <c r="G102" s="372">
        <v>1071</v>
      </c>
      <c r="H102" s="372"/>
      <c r="I102" s="372"/>
      <c r="J102" s="76">
        <f t="shared" si="72"/>
        <v>0.15203838003999165</v>
      </c>
      <c r="K102" s="71"/>
      <c r="L102" s="71"/>
      <c r="M102" s="71"/>
      <c r="N102" s="71"/>
      <c r="O102" s="372">
        <v>62732.58423</v>
      </c>
      <c r="P102" s="76">
        <f>O102/$O$219</f>
        <v>8.6974846965262489E-2</v>
      </c>
      <c r="Q102" s="76"/>
      <c r="R102" s="372">
        <v>1426418</v>
      </c>
      <c r="S102" s="372"/>
      <c r="T102" s="372">
        <v>1469929</v>
      </c>
      <c r="U102" s="427">
        <f t="shared" si="61"/>
        <v>-43511</v>
      </c>
      <c r="V102" s="112">
        <f t="shared" si="62"/>
        <v>-3.0503681249114917E-2</v>
      </c>
      <c r="W102" s="372">
        <v>41896.016726848829</v>
      </c>
      <c r="X102" s="71">
        <f t="shared" si="76"/>
        <v>-20836.567503151171</v>
      </c>
      <c r="Y102" s="76">
        <f>AVERAGE($Y$98:$Y$100,$Y$104)</f>
        <v>0.34371795311662784</v>
      </c>
      <c r="Z102" s="76">
        <f t="shared" si="77"/>
        <v>0.65628204688337211</v>
      </c>
      <c r="AA102" s="126">
        <f t="shared" si="73"/>
        <v>0</v>
      </c>
      <c r="AB102" s="126">
        <f t="shared" si="78"/>
        <v>0.65628204688337211</v>
      </c>
      <c r="AC102" s="126">
        <f t="shared" si="78"/>
        <v>-0.65628204688337211</v>
      </c>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row>
    <row r="103" spans="2:69" x14ac:dyDescent="0.2">
      <c r="B103" s="69">
        <f t="shared" si="74"/>
        <v>1</v>
      </c>
      <c r="C103" s="69">
        <f t="shared" si="70"/>
        <v>7</v>
      </c>
      <c r="D103" s="69" t="str">
        <f t="shared" si="75"/>
        <v>GA Power</v>
      </c>
      <c r="F103" s="70">
        <v>2008</v>
      </c>
      <c r="G103" s="372">
        <v>1071</v>
      </c>
      <c r="H103" s="372"/>
      <c r="I103" s="372"/>
      <c r="J103" s="76">
        <f t="shared" si="72"/>
        <v>0.14468874307713953</v>
      </c>
      <c r="K103" s="71"/>
      <c r="L103" s="71"/>
      <c r="M103" s="71"/>
      <c r="N103" s="71"/>
      <c r="O103" s="372">
        <v>79349.767380000005</v>
      </c>
      <c r="P103" s="76">
        <f>O103/$O$220</f>
        <v>0.10151599581037163</v>
      </c>
      <c r="Q103" s="76"/>
      <c r="R103" s="372">
        <v>1357464</v>
      </c>
      <c r="S103" s="372"/>
      <c r="T103" s="372">
        <v>1406919</v>
      </c>
      <c r="U103" s="427">
        <f t="shared" si="61"/>
        <v>-49455</v>
      </c>
      <c r="V103" s="112">
        <f t="shared" si="62"/>
        <v>-3.6431905376496175E-2</v>
      </c>
      <c r="W103" s="372">
        <v>52439.488475018865</v>
      </c>
      <c r="X103" s="71">
        <f t="shared" si="76"/>
        <v>-26910.27890498114</v>
      </c>
      <c r="Y103" s="76">
        <f>AVERAGE($Y$98:$Y$100,$Y$104)</f>
        <v>0.34371795311662784</v>
      </c>
      <c r="Z103" s="76">
        <f t="shared" si="77"/>
        <v>0.65628204688337211</v>
      </c>
      <c r="AA103" s="126">
        <f t="shared" si="73"/>
        <v>0</v>
      </c>
      <c r="AB103" s="126">
        <f t="shared" si="78"/>
        <v>0.65628204688337211</v>
      </c>
      <c r="AC103" s="126">
        <f t="shared" si="78"/>
        <v>-0.65628204688337211</v>
      </c>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row>
    <row r="104" spans="2:69" x14ac:dyDescent="0.2">
      <c r="B104" s="69">
        <f t="shared" si="74"/>
        <v>1</v>
      </c>
      <c r="C104" s="69">
        <f t="shared" si="70"/>
        <v>7</v>
      </c>
      <c r="D104" s="69" t="str">
        <f t="shared" si="75"/>
        <v>GA Power</v>
      </c>
      <c r="F104" s="70">
        <v>2009</v>
      </c>
      <c r="G104" s="372">
        <v>1071</v>
      </c>
      <c r="H104" s="372"/>
      <c r="I104" s="372"/>
      <c r="J104" s="76">
        <f t="shared" si="72"/>
        <v>0.26020447752921566</v>
      </c>
      <c r="K104" s="71"/>
      <c r="L104" s="71"/>
      <c r="M104" s="71"/>
      <c r="N104" s="71"/>
      <c r="O104" s="372">
        <v>53906.222309999997</v>
      </c>
      <c r="P104" s="76">
        <f>O104/$O$221</f>
        <v>6.8953774384936523E-2</v>
      </c>
      <c r="Q104" s="76"/>
      <c r="R104" s="372">
        <v>2441228</v>
      </c>
      <c r="S104" s="372"/>
      <c r="T104" s="372">
        <v>2517092</v>
      </c>
      <c r="U104" s="427">
        <f t="shared" si="61"/>
        <v>-75864</v>
      </c>
      <c r="V104" s="112">
        <f t="shared" si="62"/>
        <v>-3.1076163307974511E-2</v>
      </c>
      <c r="W104" s="372">
        <v>70077.782442203737</v>
      </c>
      <c r="X104" s="71">
        <f t="shared" si="76"/>
        <v>16171.56013220374</v>
      </c>
      <c r="Y104" s="76">
        <f t="shared" si="79"/>
        <v>0.23076586570845253</v>
      </c>
      <c r="Z104" s="76">
        <f t="shared" si="77"/>
        <v>0.76923413429154741</v>
      </c>
      <c r="AA104" s="126">
        <f t="shared" si="73"/>
        <v>0</v>
      </c>
      <c r="AB104" s="126">
        <f t="shared" si="78"/>
        <v>0.76923413429154741</v>
      </c>
      <c r="AC104" s="126">
        <f t="shared" si="78"/>
        <v>-0.76923413429154741</v>
      </c>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row>
    <row r="105" spans="2:69" x14ac:dyDescent="0.2">
      <c r="B105" s="69">
        <f t="shared" si="74"/>
        <v>1</v>
      </c>
      <c r="C105" s="69">
        <f t="shared" si="70"/>
        <v>7</v>
      </c>
      <c r="D105" s="69" t="str">
        <f t="shared" si="75"/>
        <v>GA Power</v>
      </c>
      <c r="F105" s="70">
        <v>2010</v>
      </c>
      <c r="G105" s="372">
        <v>1071</v>
      </c>
      <c r="H105" s="372"/>
      <c r="I105" s="372"/>
      <c r="J105" s="76">
        <f t="shared" si="72"/>
        <v>0.23540571479733446</v>
      </c>
      <c r="K105" s="71"/>
      <c r="L105" s="71"/>
      <c r="M105" s="71"/>
      <c r="N105" s="71"/>
      <c r="O105" s="372">
        <v>63576.759059999997</v>
      </c>
      <c r="P105" s="76">
        <f>O105/$O$222</f>
        <v>7.5654593050003591E-2</v>
      </c>
      <c r="Q105" s="76"/>
      <c r="R105" s="372">
        <v>2208567</v>
      </c>
      <c r="S105" s="372"/>
      <c r="T105" s="372">
        <v>2264567</v>
      </c>
      <c r="U105" s="427">
        <f t="shared" si="61"/>
        <v>-56000</v>
      </c>
      <c r="V105" s="112">
        <f t="shared" si="62"/>
        <v>-2.5355807634543124E-2</v>
      </c>
      <c r="W105" s="372">
        <v>70813.915521903386</v>
      </c>
      <c r="X105" s="71">
        <f t="shared" si="76"/>
        <v>7237.1564619033888</v>
      </c>
      <c r="Y105" s="76">
        <f>AVERAGE($Y$98:$Y$100,$Y$104)</f>
        <v>0.34371795311662784</v>
      </c>
      <c r="Z105" s="76">
        <f t="shared" si="77"/>
        <v>0.65628204688337211</v>
      </c>
      <c r="AA105" s="126">
        <f t="shared" si="73"/>
        <v>0</v>
      </c>
      <c r="AB105" s="126">
        <f t="shared" si="78"/>
        <v>0.65628204688337211</v>
      </c>
      <c r="AC105" s="126">
        <f t="shared" si="78"/>
        <v>-0.65628204688337211</v>
      </c>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row>
    <row r="106" spans="2:69" x14ac:dyDescent="0.2">
      <c r="B106" s="69">
        <f t="shared" si="74"/>
        <v>1</v>
      </c>
      <c r="C106" s="69">
        <f t="shared" si="70"/>
        <v>7</v>
      </c>
      <c r="D106" s="69" t="str">
        <f>D105</f>
        <v>GA Power</v>
      </c>
      <c r="F106" s="70">
        <v>2011</v>
      </c>
      <c r="G106" s="372">
        <v>1071</v>
      </c>
      <c r="H106" s="372"/>
      <c r="I106" s="372"/>
      <c r="J106" s="76">
        <f t="shared" si="72"/>
        <v>0.18771248225317524</v>
      </c>
      <c r="K106" s="71"/>
      <c r="L106" s="71"/>
      <c r="M106" s="71"/>
      <c r="N106" s="71"/>
      <c r="O106" s="372">
        <v>59952.331590000002</v>
      </c>
      <c r="P106" s="76">
        <f>O106/$O$223</f>
        <v>7.3668276899177015E-2</v>
      </c>
      <c r="Q106" s="76"/>
      <c r="R106" s="372">
        <v>1761111</v>
      </c>
      <c r="S106" s="372"/>
      <c r="T106" s="372">
        <v>1816470</v>
      </c>
      <c r="U106" s="427">
        <f t="shared" si="61"/>
        <v>-55359</v>
      </c>
      <c r="V106" s="112">
        <f t="shared" si="62"/>
        <v>-3.1434134475339714E-2</v>
      </c>
      <c r="W106" s="372">
        <v>44493.863772395802</v>
      </c>
      <c r="X106" s="71">
        <f t="shared" si="76"/>
        <v>-15458.4678176042</v>
      </c>
      <c r="Y106" s="76">
        <f>AVERAGE($Y$98:$Y$100,$Y$104)</f>
        <v>0.34371795311662784</v>
      </c>
      <c r="Z106" s="76">
        <f t="shared" si="77"/>
        <v>0.65628204688337211</v>
      </c>
      <c r="AA106" s="126">
        <f t="shared" si="73"/>
        <v>0</v>
      </c>
      <c r="AB106" s="126">
        <f t="shared" si="78"/>
        <v>0.65628204688337211</v>
      </c>
      <c r="AC106" s="126">
        <f t="shared" si="78"/>
        <v>-0.65628204688337211</v>
      </c>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row>
    <row r="107" spans="2:69" x14ac:dyDescent="0.2">
      <c r="B107" s="69">
        <f t="shared" si="74"/>
        <v>1</v>
      </c>
      <c r="C107" s="69">
        <f t="shared" si="70"/>
        <v>7</v>
      </c>
      <c r="D107" s="69" t="str">
        <f>D106</f>
        <v>GA Power</v>
      </c>
      <c r="F107" s="70">
        <v>2012</v>
      </c>
      <c r="G107" s="372">
        <v>1071</v>
      </c>
      <c r="H107" s="372"/>
      <c r="I107" s="372"/>
      <c r="J107" s="76">
        <f t="shared" si="72"/>
        <v>0.15032871596127034</v>
      </c>
      <c r="K107" s="71"/>
      <c r="L107" s="71"/>
      <c r="M107" s="71"/>
      <c r="N107" s="71"/>
      <c r="O107" s="372">
        <v>51645.810720000001</v>
      </c>
      <c r="P107" s="76">
        <f>O107/$O$224</f>
        <v>6.2593656981350068E-2</v>
      </c>
      <c r="Q107" s="76"/>
      <c r="R107" s="372">
        <v>1410378</v>
      </c>
      <c r="S107" s="372"/>
      <c r="T107" s="372">
        <v>1455823</v>
      </c>
      <c r="U107" s="427">
        <f t="shared" si="61"/>
        <v>-45445</v>
      </c>
      <c r="V107" s="112">
        <f t="shared" si="62"/>
        <v>-3.2221858253602936E-2</v>
      </c>
      <c r="W107" s="372">
        <v>25206.619853265496</v>
      </c>
      <c r="X107" s="71">
        <f t="shared" si="76"/>
        <v>-26439.190866734505</v>
      </c>
      <c r="Y107" s="76">
        <f>AVERAGE($Y$98:$Y$100,$Y$104)</f>
        <v>0.34371795311662784</v>
      </c>
      <c r="Z107" s="76">
        <f t="shared" si="77"/>
        <v>0.65628204688337211</v>
      </c>
      <c r="AA107" s="126">
        <f t="shared" si="73"/>
        <v>0</v>
      </c>
      <c r="AB107" s="126">
        <f t="shared" si="78"/>
        <v>0.65628204688337211</v>
      </c>
      <c r="AC107" s="126">
        <f t="shared" si="78"/>
        <v>-0.65628204688337211</v>
      </c>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row>
    <row r="108" spans="2:69" x14ac:dyDescent="0.2">
      <c r="B108" s="69">
        <f t="shared" si="74"/>
        <v>1</v>
      </c>
      <c r="C108" s="69">
        <f t="shared" si="70"/>
        <v>7</v>
      </c>
      <c r="D108" s="69" t="str">
        <f>D107</f>
        <v>GA Power</v>
      </c>
      <c r="F108" s="70">
        <v>2013</v>
      </c>
      <c r="G108" s="372">
        <v>1071</v>
      </c>
      <c r="H108" s="372"/>
      <c r="I108" s="372"/>
      <c r="J108" s="76">
        <f t="shared" si="72"/>
        <v>0.24906778540944535</v>
      </c>
      <c r="K108" s="69"/>
      <c r="L108" s="69"/>
      <c r="M108" s="69"/>
      <c r="N108" s="69"/>
      <c r="O108" s="372">
        <v>47707.905449999998</v>
      </c>
      <c r="P108" s="76">
        <f>O108/$O$225</f>
        <v>5.6664109954542116E-2</v>
      </c>
      <c r="Q108" s="69"/>
      <c r="R108" s="372">
        <v>2336744</v>
      </c>
      <c r="S108" s="372"/>
      <c r="T108" s="372">
        <v>2422809</v>
      </c>
      <c r="U108" s="427">
        <f t="shared" si="61"/>
        <v>-86065</v>
      </c>
      <c r="V108" s="112">
        <f t="shared" si="62"/>
        <v>-3.6831163362353772E-2</v>
      </c>
      <c r="W108" s="372">
        <v>69103.54771685625</v>
      </c>
      <c r="X108" s="71">
        <f>W108-O108</f>
        <v>21395.642266856252</v>
      </c>
      <c r="Y108" s="76">
        <f>X108/W108</f>
        <v>0.30961713216986209</v>
      </c>
      <c r="Z108" s="76">
        <f>1-Y108</f>
        <v>0.69038286783013791</v>
      </c>
      <c r="AA108" s="126">
        <f>Z108*Q108</f>
        <v>0</v>
      </c>
      <c r="AB108" s="126">
        <f t="shared" ref="AB108:AC110" si="80">Z108-AA108</f>
        <v>0.69038286783013791</v>
      </c>
      <c r="AC108" s="126">
        <f t="shared" si="80"/>
        <v>-0.69038286783013791</v>
      </c>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row>
    <row r="109" spans="2:69" x14ac:dyDescent="0.2">
      <c r="B109" s="69">
        <f t="shared" si="74"/>
        <v>1</v>
      </c>
      <c r="C109" s="69">
        <f t="shared" si="70"/>
        <v>7</v>
      </c>
      <c r="D109" s="69" t="str">
        <f>D108</f>
        <v>GA Power</v>
      </c>
      <c r="F109" s="70">
        <v>2014</v>
      </c>
      <c r="G109" s="372">
        <v>1071</v>
      </c>
      <c r="H109" s="372"/>
      <c r="I109" s="372"/>
      <c r="J109" s="76">
        <f t="shared" si="72"/>
        <v>0.20340174121398941</v>
      </c>
      <c r="K109" s="69"/>
      <c r="L109" s="69"/>
      <c r="M109" s="69"/>
      <c r="N109" s="69"/>
      <c r="O109" s="372">
        <v>61799.222100000006</v>
      </c>
      <c r="P109" s="76">
        <f>O109/$O$226</f>
        <v>7.141638788012894E-2</v>
      </c>
      <c r="Q109" s="69"/>
      <c r="R109" s="372">
        <v>1908307</v>
      </c>
      <c r="S109" s="372"/>
      <c r="T109" s="372">
        <v>1965277</v>
      </c>
      <c r="U109" s="427">
        <f t="shared" si="61"/>
        <v>-56970</v>
      </c>
      <c r="V109" s="112">
        <f t="shared" si="62"/>
        <v>-2.9853687063978701E-2</v>
      </c>
      <c r="W109" s="372">
        <v>75080.007214224373</v>
      </c>
      <c r="X109" s="71">
        <f>W109-O109</f>
        <v>13280.785114224367</v>
      </c>
      <c r="Y109" s="76">
        <f>X109/W109</f>
        <v>0.17688843684218827</v>
      </c>
      <c r="Z109" s="76">
        <f>1-Y109</f>
        <v>0.82311156315781175</v>
      </c>
      <c r="AA109" s="126">
        <f>Z109*Q109</f>
        <v>0</v>
      </c>
      <c r="AB109" s="126">
        <f t="shared" si="80"/>
        <v>0.82311156315781175</v>
      </c>
      <c r="AC109" s="126">
        <f t="shared" si="80"/>
        <v>-0.82311156315781175</v>
      </c>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row>
    <row r="110" spans="2:69" x14ac:dyDescent="0.2">
      <c r="B110" s="72">
        <f>'OPG hydro peers'!B12</f>
        <v>1</v>
      </c>
      <c r="C110" s="72">
        <f t="shared" si="70"/>
        <v>8</v>
      </c>
      <c r="D110" s="72" t="str">
        <f>'OPG hydro peers'!D12</f>
        <v>PacifiCorp</v>
      </c>
      <c r="F110" s="73">
        <v>2002</v>
      </c>
      <c r="G110" s="374">
        <v>979.5</v>
      </c>
      <c r="H110" s="374"/>
      <c r="I110" s="374"/>
      <c r="J110" s="75">
        <f t="shared" ref="J110:J122" si="81">R110/(G110*8760)</f>
        <v>0.37526391482002047</v>
      </c>
      <c r="K110" s="127"/>
      <c r="L110" s="127"/>
      <c r="M110" s="127"/>
      <c r="N110" s="127"/>
      <c r="O110" s="373">
        <v>25497.863100000002</v>
      </c>
      <c r="P110" s="75">
        <f>O110/$O$214</f>
        <v>4.92811868480749E-2</v>
      </c>
      <c r="Q110" s="75"/>
      <c r="R110" s="374">
        <v>3219922</v>
      </c>
      <c r="S110" s="374"/>
      <c r="T110" s="374">
        <v>3601361</v>
      </c>
      <c r="U110" s="427">
        <f t="shared" si="61"/>
        <v>-381439</v>
      </c>
      <c r="V110" s="112">
        <f t="shared" si="62"/>
        <v>-0.11846218635109794</v>
      </c>
      <c r="W110" s="373">
        <v>98988.436469845474</v>
      </c>
      <c r="X110" s="127">
        <f t="shared" ref="X110:X120" si="82">W110-O110</f>
        <v>73490.573369845471</v>
      </c>
      <c r="Y110" s="75">
        <f>X110/W110</f>
        <v>0.74241574057220983</v>
      </c>
      <c r="Z110" s="75">
        <f>1-Y110</f>
        <v>0.25758425942779017</v>
      </c>
      <c r="AA110" s="125">
        <f t="shared" ref="AA110:AA120" si="83">Z110*Q110</f>
        <v>0</v>
      </c>
      <c r="AB110" s="125">
        <f t="shared" si="80"/>
        <v>0.25758425942779017</v>
      </c>
      <c r="AC110" s="125">
        <f t="shared" si="80"/>
        <v>-0.25758425942779017</v>
      </c>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row>
    <row r="111" spans="2:69" x14ac:dyDescent="0.2">
      <c r="B111" s="72">
        <f t="shared" ref="B111:B122" si="84">B110</f>
        <v>1</v>
      </c>
      <c r="C111" s="72">
        <f t="shared" si="70"/>
        <v>8</v>
      </c>
      <c r="D111" s="72" t="str">
        <f t="shared" ref="D111:D122" si="85">D110</f>
        <v>PacifiCorp</v>
      </c>
      <c r="F111" s="73">
        <v>2003</v>
      </c>
      <c r="G111" s="374">
        <v>988.6</v>
      </c>
      <c r="H111" s="374"/>
      <c r="I111" s="374"/>
      <c r="J111" s="75">
        <f t="shared" si="81"/>
        <v>0.39776142083680904</v>
      </c>
      <c r="K111" s="127"/>
      <c r="L111" s="127"/>
      <c r="M111" s="127"/>
      <c r="N111" s="127"/>
      <c r="O111" s="373">
        <v>26754.865289999998</v>
      </c>
      <c r="P111" s="75">
        <f>O111/$O$215</f>
        <v>4.7704766473476039E-2</v>
      </c>
      <c r="Q111" s="75"/>
      <c r="R111" s="374">
        <v>3444668</v>
      </c>
      <c r="S111" s="374"/>
      <c r="T111" s="374">
        <v>3771140</v>
      </c>
      <c r="U111" s="427">
        <f t="shared" si="61"/>
        <v>-326472</v>
      </c>
      <c r="V111" s="112">
        <f t="shared" si="62"/>
        <v>-9.4776042277514114E-2</v>
      </c>
      <c r="W111" s="373">
        <v>177836.25091465336</v>
      </c>
      <c r="X111" s="127">
        <f t="shared" si="82"/>
        <v>151081.38562465337</v>
      </c>
      <c r="Y111" s="75">
        <f t="shared" ref="Y111:Y120" si="86">X111/W111</f>
        <v>0.84955336635588374</v>
      </c>
      <c r="Z111" s="75">
        <f t="shared" ref="Z111:Z120" si="87">1-Y111</f>
        <v>0.15044663364411626</v>
      </c>
      <c r="AA111" s="125">
        <f t="shared" si="83"/>
        <v>0</v>
      </c>
      <c r="AB111" s="125">
        <f t="shared" ref="AB111:AC120" si="88">Z111-AA111</f>
        <v>0.15044663364411626</v>
      </c>
      <c r="AC111" s="125">
        <f t="shared" si="88"/>
        <v>-0.15044663364411626</v>
      </c>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row>
    <row r="112" spans="2:69" x14ac:dyDescent="0.2">
      <c r="B112" s="72">
        <f t="shared" si="84"/>
        <v>1</v>
      </c>
      <c r="C112" s="72">
        <f t="shared" si="70"/>
        <v>8</v>
      </c>
      <c r="D112" s="72" t="str">
        <f t="shared" si="85"/>
        <v>PacifiCorp</v>
      </c>
      <c r="F112" s="73">
        <v>2004</v>
      </c>
      <c r="G112" s="374">
        <v>1003.14</v>
      </c>
      <c r="H112" s="374"/>
      <c r="I112" s="374"/>
      <c r="J112" s="75">
        <f t="shared" si="81"/>
        <v>0.35176873384695345</v>
      </c>
      <c r="K112" s="127"/>
      <c r="L112" s="127"/>
      <c r="M112" s="127"/>
      <c r="N112" s="127"/>
      <c r="O112" s="373">
        <v>34820.494350000001</v>
      </c>
      <c r="P112" s="75">
        <f>O112/$O$216</f>
        <v>5.7968217167283072E-2</v>
      </c>
      <c r="Q112" s="75"/>
      <c r="R112" s="374">
        <v>3091170</v>
      </c>
      <c r="S112" s="374"/>
      <c r="T112" s="374">
        <v>3421857</v>
      </c>
      <c r="U112" s="427">
        <f t="shared" si="61"/>
        <v>-330687</v>
      </c>
      <c r="V112" s="112">
        <f t="shared" si="62"/>
        <v>-0.10697794039150224</v>
      </c>
      <c r="W112" s="373">
        <v>173660.96354106831</v>
      </c>
      <c r="X112" s="127">
        <f t="shared" si="82"/>
        <v>138840.46919106832</v>
      </c>
      <c r="Y112" s="75">
        <f t="shared" si="86"/>
        <v>0.79949152855088557</v>
      </c>
      <c r="Z112" s="75">
        <f t="shared" si="87"/>
        <v>0.20050847144911443</v>
      </c>
      <c r="AA112" s="125">
        <f t="shared" si="83"/>
        <v>0</v>
      </c>
      <c r="AB112" s="125">
        <f t="shared" si="88"/>
        <v>0.20050847144911443</v>
      </c>
      <c r="AC112" s="125">
        <f t="shared" si="88"/>
        <v>-0.20050847144911443</v>
      </c>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row>
    <row r="113" spans="2:69" x14ac:dyDescent="0.2">
      <c r="B113" s="72">
        <f t="shared" si="84"/>
        <v>1</v>
      </c>
      <c r="C113" s="72">
        <f t="shared" si="70"/>
        <v>8</v>
      </c>
      <c r="D113" s="72" t="str">
        <f t="shared" si="85"/>
        <v>PacifiCorp</v>
      </c>
      <c r="F113" s="73">
        <v>2005</v>
      </c>
      <c r="G113" s="374">
        <v>1003.14</v>
      </c>
      <c r="H113" s="374"/>
      <c r="I113" s="374"/>
      <c r="J113" s="75">
        <f t="shared" si="81"/>
        <v>0.33742416392436425</v>
      </c>
      <c r="K113" s="127"/>
      <c r="L113" s="127"/>
      <c r="M113" s="127"/>
      <c r="N113" s="127"/>
      <c r="O113" s="373">
        <v>34601.1423</v>
      </c>
      <c r="P113" s="75">
        <f>O113/$O$217</f>
        <v>5.5389934206721857E-2</v>
      </c>
      <c r="Q113" s="75"/>
      <c r="R113" s="374">
        <v>2965117</v>
      </c>
      <c r="S113" s="374"/>
      <c r="T113" s="374">
        <v>3272324</v>
      </c>
      <c r="U113" s="427">
        <f t="shared" si="61"/>
        <v>-307207</v>
      </c>
      <c r="V113" s="112">
        <f t="shared" si="62"/>
        <v>-0.10360704147593501</v>
      </c>
      <c r="W113" s="373">
        <v>227781.55794615878</v>
      </c>
      <c r="X113" s="127">
        <f t="shared" si="82"/>
        <v>193180.41564615877</v>
      </c>
      <c r="Y113" s="75">
        <f t="shared" si="86"/>
        <v>0.84809506699318149</v>
      </c>
      <c r="Z113" s="75">
        <f t="shared" si="87"/>
        <v>0.15190493300681851</v>
      </c>
      <c r="AA113" s="125">
        <f t="shared" si="83"/>
        <v>0</v>
      </c>
      <c r="AB113" s="125">
        <f t="shared" si="88"/>
        <v>0.15190493300681851</v>
      </c>
      <c r="AC113" s="125">
        <f t="shared" si="88"/>
        <v>-0.15190493300681851</v>
      </c>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row>
    <row r="114" spans="2:69" x14ac:dyDescent="0.2">
      <c r="B114" s="72">
        <f t="shared" si="84"/>
        <v>1</v>
      </c>
      <c r="C114" s="72">
        <f t="shared" si="70"/>
        <v>8</v>
      </c>
      <c r="D114" s="72" t="str">
        <f t="shared" si="85"/>
        <v>PacifiCorp</v>
      </c>
      <c r="F114" s="73">
        <v>2006</v>
      </c>
      <c r="G114" s="374">
        <v>1010.77</v>
      </c>
      <c r="H114" s="374"/>
      <c r="I114" s="374"/>
      <c r="J114" s="75">
        <f t="shared" si="81"/>
        <v>0.48001257055123631</v>
      </c>
      <c r="K114" s="127"/>
      <c r="L114" s="127"/>
      <c r="M114" s="127"/>
      <c r="N114" s="127"/>
      <c r="O114" s="373">
        <v>32842.031969999996</v>
      </c>
      <c r="P114" s="75">
        <f>O114/$O$218</f>
        <v>4.9428683665003283E-2</v>
      </c>
      <c r="Q114" s="75"/>
      <c r="R114" s="374">
        <v>4250197</v>
      </c>
      <c r="S114" s="374"/>
      <c r="T114" s="374">
        <v>4620883</v>
      </c>
      <c r="U114" s="427">
        <f t="shared" si="61"/>
        <v>-370686</v>
      </c>
      <c r="V114" s="112">
        <f t="shared" si="62"/>
        <v>-8.7216192567073955E-2</v>
      </c>
      <c r="W114" s="373">
        <v>271324.60383125074</v>
      </c>
      <c r="X114" s="127">
        <f t="shared" si="82"/>
        <v>238482.57186125073</v>
      </c>
      <c r="Y114" s="75">
        <f t="shared" si="86"/>
        <v>0.8789566758552203</v>
      </c>
      <c r="Z114" s="75">
        <f t="shared" si="87"/>
        <v>0.1210433241447797</v>
      </c>
      <c r="AA114" s="125">
        <f t="shared" si="83"/>
        <v>0</v>
      </c>
      <c r="AB114" s="125">
        <f t="shared" si="88"/>
        <v>0.1210433241447797</v>
      </c>
      <c r="AC114" s="125">
        <f t="shared" si="88"/>
        <v>-0.1210433241447797</v>
      </c>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row>
    <row r="115" spans="2:69" x14ac:dyDescent="0.2">
      <c r="B115" s="72">
        <f t="shared" si="84"/>
        <v>1</v>
      </c>
      <c r="C115" s="72">
        <f t="shared" si="70"/>
        <v>8</v>
      </c>
      <c r="D115" s="72" t="str">
        <f t="shared" si="85"/>
        <v>PacifiCorp</v>
      </c>
      <c r="F115" s="73">
        <v>2007</v>
      </c>
      <c r="G115" s="374">
        <v>1010.77</v>
      </c>
      <c r="H115" s="374"/>
      <c r="I115" s="374"/>
      <c r="J115" s="75">
        <f t="shared" si="81"/>
        <v>0.38891910380905415</v>
      </c>
      <c r="K115" s="127"/>
      <c r="L115" s="127"/>
      <c r="M115" s="127"/>
      <c r="N115" s="127"/>
      <c r="O115" s="373">
        <v>35559.201599999993</v>
      </c>
      <c r="P115" s="75">
        <f>O115/$O$219</f>
        <v>4.9300633081330925E-2</v>
      </c>
      <c r="Q115" s="75"/>
      <c r="R115" s="374">
        <v>3443624</v>
      </c>
      <c r="S115" s="374"/>
      <c r="T115" s="374">
        <v>3743905</v>
      </c>
      <c r="U115" s="427">
        <f t="shared" si="61"/>
        <v>-300281</v>
      </c>
      <c r="V115" s="112">
        <f t="shared" si="62"/>
        <v>-8.7199125107735337E-2</v>
      </c>
      <c r="W115" s="373">
        <v>242396.12012377178</v>
      </c>
      <c r="X115" s="127">
        <f t="shared" si="82"/>
        <v>206836.91852377178</v>
      </c>
      <c r="Y115" s="75">
        <f t="shared" si="86"/>
        <v>0.85330127568938463</v>
      </c>
      <c r="Z115" s="75">
        <f t="shared" si="87"/>
        <v>0.14669872431061537</v>
      </c>
      <c r="AA115" s="125">
        <f t="shared" si="83"/>
        <v>0</v>
      </c>
      <c r="AB115" s="125">
        <f t="shared" si="88"/>
        <v>0.14669872431061537</v>
      </c>
      <c r="AC115" s="125">
        <f t="shared" si="88"/>
        <v>-0.14669872431061537</v>
      </c>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row>
    <row r="116" spans="2:69" x14ac:dyDescent="0.2">
      <c r="B116" s="72">
        <f t="shared" si="84"/>
        <v>1</v>
      </c>
      <c r="C116" s="72">
        <f t="shared" si="70"/>
        <v>8</v>
      </c>
      <c r="D116" s="72" t="str">
        <f t="shared" si="85"/>
        <v>PacifiCorp</v>
      </c>
      <c r="F116" s="73">
        <v>2008</v>
      </c>
      <c r="G116" s="374">
        <v>1010.77</v>
      </c>
      <c r="H116" s="374"/>
      <c r="I116" s="374"/>
      <c r="J116" s="75">
        <f t="shared" si="81"/>
        <v>0.38864070942253304</v>
      </c>
      <c r="K116" s="127"/>
      <c r="L116" s="127"/>
      <c r="M116" s="127"/>
      <c r="N116" s="127"/>
      <c r="O116" s="373">
        <v>36266.698829999994</v>
      </c>
      <c r="P116" s="75">
        <f>O116/$O$220</f>
        <v>4.6397742149024167E-2</v>
      </c>
      <c r="Q116" s="75"/>
      <c r="R116" s="374">
        <v>3441159</v>
      </c>
      <c r="S116" s="374"/>
      <c r="T116" s="374">
        <v>3766657</v>
      </c>
      <c r="U116" s="427">
        <f t="shared" si="61"/>
        <v>-325498</v>
      </c>
      <c r="V116" s="112">
        <f t="shared" si="62"/>
        <v>-9.4589642617501829E-2</v>
      </c>
      <c r="W116" s="373">
        <v>287926.38299186464</v>
      </c>
      <c r="X116" s="127">
        <f t="shared" si="82"/>
        <v>251659.68416186463</v>
      </c>
      <c r="Y116" s="75">
        <f t="shared" si="86"/>
        <v>0.87404176563067959</v>
      </c>
      <c r="Z116" s="75">
        <f t="shared" si="87"/>
        <v>0.12595823436932041</v>
      </c>
      <c r="AA116" s="125">
        <f t="shared" si="83"/>
        <v>0</v>
      </c>
      <c r="AB116" s="125">
        <f t="shared" si="88"/>
        <v>0.12595823436932041</v>
      </c>
      <c r="AC116" s="125">
        <f t="shared" si="88"/>
        <v>-0.12595823436932041</v>
      </c>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row>
    <row r="117" spans="2:69" x14ac:dyDescent="0.2">
      <c r="B117" s="72">
        <f t="shared" si="84"/>
        <v>1</v>
      </c>
      <c r="C117" s="72">
        <f t="shared" si="70"/>
        <v>8</v>
      </c>
      <c r="D117" s="72" t="str">
        <f t="shared" si="85"/>
        <v>PacifiCorp</v>
      </c>
      <c r="F117" s="73">
        <v>2009</v>
      </c>
      <c r="G117" s="374">
        <v>1010.77</v>
      </c>
      <c r="H117" s="374"/>
      <c r="I117" s="374"/>
      <c r="J117" s="75">
        <f t="shared" si="81"/>
        <v>0.36298471850860303</v>
      </c>
      <c r="K117" s="127"/>
      <c r="L117" s="127"/>
      <c r="M117" s="127"/>
      <c r="N117" s="127"/>
      <c r="O117" s="373">
        <v>37242.910470000003</v>
      </c>
      <c r="P117" s="75">
        <f>O117/$O$221</f>
        <v>4.763901338177022E-2</v>
      </c>
      <c r="Q117" s="75"/>
      <c r="R117" s="374">
        <v>3213992</v>
      </c>
      <c r="S117" s="374"/>
      <c r="T117" s="374">
        <v>3544418</v>
      </c>
      <c r="U117" s="427">
        <f t="shared" si="61"/>
        <v>-330426</v>
      </c>
      <c r="V117" s="112">
        <f t="shared" si="62"/>
        <v>-0.10280859442089464</v>
      </c>
      <c r="W117" s="373">
        <v>135675.96011335167</v>
      </c>
      <c r="X117" s="127">
        <f t="shared" si="82"/>
        <v>98433.049643351667</v>
      </c>
      <c r="Y117" s="75">
        <f t="shared" si="86"/>
        <v>0.72550103615345651</v>
      </c>
      <c r="Z117" s="75">
        <f t="shared" si="87"/>
        <v>0.27449896384654349</v>
      </c>
      <c r="AA117" s="125">
        <f t="shared" si="83"/>
        <v>0</v>
      </c>
      <c r="AB117" s="125">
        <f t="shared" si="88"/>
        <v>0.27449896384654349</v>
      </c>
      <c r="AC117" s="125">
        <f t="shared" si="88"/>
        <v>-0.27449896384654349</v>
      </c>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row>
    <row r="118" spans="2:69" x14ac:dyDescent="0.2">
      <c r="B118" s="72">
        <f t="shared" si="84"/>
        <v>1</v>
      </c>
      <c r="C118" s="72">
        <f t="shared" si="70"/>
        <v>8</v>
      </c>
      <c r="D118" s="72" t="str">
        <f t="shared" si="85"/>
        <v>PacifiCorp</v>
      </c>
      <c r="F118" s="73">
        <v>2010</v>
      </c>
      <c r="G118" s="374">
        <v>1010.77</v>
      </c>
      <c r="H118" s="374"/>
      <c r="I118" s="374"/>
      <c r="J118" s="75">
        <f t="shared" si="81"/>
        <v>0.38798939079086281</v>
      </c>
      <c r="K118" s="127"/>
      <c r="L118" s="127"/>
      <c r="M118" s="127"/>
      <c r="N118" s="127"/>
      <c r="O118" s="373">
        <v>35590.968809999991</v>
      </c>
      <c r="P118" s="75">
        <f>O118/$O$222</f>
        <v>4.235227308511879E-2</v>
      </c>
      <c r="Q118" s="75"/>
      <c r="R118" s="374">
        <v>3435392</v>
      </c>
      <c r="S118" s="374"/>
      <c r="T118" s="374">
        <v>3745524</v>
      </c>
      <c r="U118" s="427">
        <f t="shared" si="61"/>
        <v>-310132</v>
      </c>
      <c r="V118" s="112">
        <f t="shared" si="62"/>
        <v>-9.0275578449271587E-2</v>
      </c>
      <c r="W118" s="373">
        <v>149970.90692570031</v>
      </c>
      <c r="X118" s="127">
        <f t="shared" si="82"/>
        <v>114379.93811570032</v>
      </c>
      <c r="Y118" s="75">
        <f t="shared" si="86"/>
        <v>0.76268084564139682</v>
      </c>
      <c r="Z118" s="75">
        <f t="shared" si="87"/>
        <v>0.23731915435860318</v>
      </c>
      <c r="AA118" s="125">
        <f t="shared" si="83"/>
        <v>0</v>
      </c>
      <c r="AB118" s="125">
        <f t="shared" si="88"/>
        <v>0.23731915435860318</v>
      </c>
      <c r="AC118" s="125">
        <f t="shared" si="88"/>
        <v>-0.23731915435860318</v>
      </c>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row>
    <row r="119" spans="2:69" x14ac:dyDescent="0.2">
      <c r="B119" s="72">
        <f t="shared" si="84"/>
        <v>1</v>
      </c>
      <c r="C119" s="72">
        <f t="shared" si="70"/>
        <v>8</v>
      </c>
      <c r="D119" s="72" t="str">
        <f t="shared" si="85"/>
        <v>PacifiCorp</v>
      </c>
      <c r="F119" s="73">
        <v>2011</v>
      </c>
      <c r="G119" s="374">
        <v>1016.27</v>
      </c>
      <c r="H119" s="374"/>
      <c r="I119" s="374"/>
      <c r="J119" s="75">
        <f t="shared" si="81"/>
        <v>0.48741990643284</v>
      </c>
      <c r="K119" s="127"/>
      <c r="L119" s="127"/>
      <c r="M119" s="127"/>
      <c r="N119" s="127"/>
      <c r="O119" s="373">
        <v>38791.797809999996</v>
      </c>
      <c r="P119" s="75">
        <f>O119/$O$223</f>
        <v>4.7666618239758908E-2</v>
      </c>
      <c r="Q119" s="75"/>
      <c r="R119" s="374">
        <v>4339268</v>
      </c>
      <c r="S119" s="374"/>
      <c r="T119" s="374">
        <v>4685004</v>
      </c>
      <c r="U119" s="427">
        <f t="shared" si="61"/>
        <v>-345736</v>
      </c>
      <c r="V119" s="112">
        <f t="shared" si="62"/>
        <v>-7.967611127038017E-2</v>
      </c>
      <c r="W119" s="373">
        <v>154322.1676353435</v>
      </c>
      <c r="X119" s="127">
        <f t="shared" si="82"/>
        <v>115530.36982534351</v>
      </c>
      <c r="Y119" s="75">
        <f t="shared" si="86"/>
        <v>0.74863107222765757</v>
      </c>
      <c r="Z119" s="75">
        <f t="shared" si="87"/>
        <v>0.25136892777234243</v>
      </c>
      <c r="AA119" s="125">
        <f t="shared" si="83"/>
        <v>0</v>
      </c>
      <c r="AB119" s="125">
        <f t="shared" si="88"/>
        <v>0.25136892777234243</v>
      </c>
      <c r="AC119" s="125">
        <f t="shared" si="88"/>
        <v>-0.25136892777234243</v>
      </c>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row>
    <row r="120" spans="2:69" x14ac:dyDescent="0.2">
      <c r="B120" s="72">
        <f t="shared" si="84"/>
        <v>1</v>
      </c>
      <c r="C120" s="72">
        <f t="shared" si="70"/>
        <v>8</v>
      </c>
      <c r="D120" s="72" t="str">
        <f t="shared" si="85"/>
        <v>PacifiCorp</v>
      </c>
      <c r="F120" s="73">
        <v>2012</v>
      </c>
      <c r="G120" s="374">
        <v>1016.27</v>
      </c>
      <c r="H120" s="374"/>
      <c r="I120" s="374"/>
      <c r="J120" s="75">
        <f t="shared" si="81"/>
        <v>0.45839207509348023</v>
      </c>
      <c r="K120" s="127"/>
      <c r="L120" s="127"/>
      <c r="M120" s="127"/>
      <c r="N120" s="127"/>
      <c r="O120" s="373">
        <v>37712.608110000001</v>
      </c>
      <c r="P120" s="75">
        <f>O120/$O$224</f>
        <v>4.5706902902683699E-2</v>
      </c>
      <c r="Q120" s="75"/>
      <c r="R120" s="374">
        <v>4080847</v>
      </c>
      <c r="S120" s="374"/>
      <c r="T120" s="374">
        <v>4264288</v>
      </c>
      <c r="U120" s="427">
        <f t="shared" si="61"/>
        <v>-183441</v>
      </c>
      <c r="V120" s="112">
        <f t="shared" si="62"/>
        <v>-4.4951697527498578E-2</v>
      </c>
      <c r="W120" s="373">
        <v>116332.05257686159</v>
      </c>
      <c r="X120" s="127">
        <f t="shared" si="82"/>
        <v>78619.444466861591</v>
      </c>
      <c r="Y120" s="75">
        <f t="shared" si="86"/>
        <v>0.67581928389784962</v>
      </c>
      <c r="Z120" s="75">
        <f t="shared" si="87"/>
        <v>0.32418071610215038</v>
      </c>
      <c r="AA120" s="125">
        <f t="shared" si="83"/>
        <v>0</v>
      </c>
      <c r="AB120" s="125">
        <f t="shared" si="88"/>
        <v>0.32418071610215038</v>
      </c>
      <c r="AC120" s="125">
        <f t="shared" si="88"/>
        <v>-0.32418071610215038</v>
      </c>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row>
    <row r="121" spans="2:69" x14ac:dyDescent="0.2">
      <c r="B121" s="72">
        <f t="shared" si="84"/>
        <v>1</v>
      </c>
      <c r="C121" s="72">
        <f t="shared" si="70"/>
        <v>8</v>
      </c>
      <c r="D121" s="72" t="str">
        <f t="shared" si="85"/>
        <v>PacifiCorp</v>
      </c>
      <c r="F121" s="73">
        <v>2013</v>
      </c>
      <c r="G121" s="374">
        <v>1016.27</v>
      </c>
      <c r="H121" s="374"/>
      <c r="I121" s="374"/>
      <c r="J121" s="75">
        <f t="shared" si="81"/>
        <v>0.33436580443490349</v>
      </c>
      <c r="K121" s="127"/>
      <c r="L121" s="127"/>
      <c r="M121" s="127"/>
      <c r="N121" s="127"/>
      <c r="O121" s="373">
        <v>40175.152979999999</v>
      </c>
      <c r="P121" s="75">
        <f>O121/$O$225</f>
        <v>4.771723395580911E-2</v>
      </c>
      <c r="Q121" s="72"/>
      <c r="R121" s="374">
        <v>2976700</v>
      </c>
      <c r="S121" s="374"/>
      <c r="T121" s="374">
        <v>3167941</v>
      </c>
      <c r="U121" s="427">
        <f t="shared" si="61"/>
        <v>-191241</v>
      </c>
      <c r="V121" s="112">
        <f t="shared" si="62"/>
        <v>-6.4245977088722414E-2</v>
      </c>
      <c r="W121" s="373">
        <v>134754.456065598</v>
      </c>
      <c r="X121" s="127">
        <f>W121-O121</f>
        <v>94579.303085598003</v>
      </c>
      <c r="Y121" s="75">
        <f>X121/W121</f>
        <v>0.70186401138050025</v>
      </c>
      <c r="Z121" s="75">
        <f>1-Y121</f>
        <v>0.29813598861949975</v>
      </c>
      <c r="AA121" s="125">
        <f>Z121*Q121</f>
        <v>0</v>
      </c>
      <c r="AB121" s="125">
        <f t="shared" ref="AB121:AC123" si="89">Z121-AA121</f>
        <v>0.29813598861949975</v>
      </c>
      <c r="AC121" s="125">
        <f t="shared" si="89"/>
        <v>-0.29813598861949975</v>
      </c>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row>
    <row r="122" spans="2:69" x14ac:dyDescent="0.2">
      <c r="B122" s="72">
        <f t="shared" si="84"/>
        <v>1</v>
      </c>
      <c r="C122" s="72">
        <f t="shared" si="70"/>
        <v>8</v>
      </c>
      <c r="D122" s="72" t="str">
        <f t="shared" si="85"/>
        <v>PacifiCorp</v>
      </c>
      <c r="F122" s="73">
        <v>2014</v>
      </c>
      <c r="G122" s="374">
        <v>1016.27</v>
      </c>
      <c r="H122" s="374"/>
      <c r="I122" s="374"/>
      <c r="J122" s="75">
        <f t="shared" si="81"/>
        <v>0.4038629399218101</v>
      </c>
      <c r="K122" s="127"/>
      <c r="L122" s="127"/>
      <c r="M122" s="127"/>
      <c r="N122" s="127"/>
      <c r="O122" s="373">
        <v>38805.439740000002</v>
      </c>
      <c r="P122" s="75">
        <f>O122/$O$226</f>
        <v>4.484432396003913E-2</v>
      </c>
      <c r="Q122" s="72"/>
      <c r="R122" s="374">
        <v>3595400</v>
      </c>
      <c r="S122" s="374"/>
      <c r="T122" s="374">
        <v>3784143</v>
      </c>
      <c r="U122" s="427">
        <f t="shared" si="61"/>
        <v>-188743</v>
      </c>
      <c r="V122" s="112">
        <f t="shared" si="62"/>
        <v>-5.249568893586249E-2</v>
      </c>
      <c r="W122" s="373">
        <v>174352.64487867008</v>
      </c>
      <c r="X122" s="127">
        <f>W122-O122</f>
        <v>135547.20513867008</v>
      </c>
      <c r="Y122" s="75">
        <f>X122/W122</f>
        <v>0.77743131016449885</v>
      </c>
      <c r="Z122" s="75">
        <f>1-Y122</f>
        <v>0.22256868983550115</v>
      </c>
      <c r="AA122" s="125">
        <f>Z122*Q122</f>
        <v>0</v>
      </c>
      <c r="AB122" s="125">
        <f t="shared" si="89"/>
        <v>0.22256868983550115</v>
      </c>
      <c r="AC122" s="125">
        <f t="shared" si="89"/>
        <v>-0.22256868983550115</v>
      </c>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row>
    <row r="123" spans="2:69" x14ac:dyDescent="0.2">
      <c r="B123" s="69">
        <f>'OPG hydro peers'!B13</f>
        <v>1</v>
      </c>
      <c r="C123" s="69">
        <f t="shared" si="70"/>
        <v>9</v>
      </c>
      <c r="D123" s="69" t="str">
        <f>'OPG hydro peers'!D13</f>
        <v>Avista</v>
      </c>
      <c r="F123" s="70">
        <v>2002</v>
      </c>
      <c r="G123" s="372">
        <v>879.3</v>
      </c>
      <c r="H123" s="372"/>
      <c r="I123" s="372"/>
      <c r="J123" s="76">
        <f t="shared" ref="J123:J135" si="90">R123/(G123*8760)</f>
        <v>0.52055171013472212</v>
      </c>
      <c r="K123" s="71"/>
      <c r="L123" s="71"/>
      <c r="M123" s="71"/>
      <c r="N123" s="71"/>
      <c r="O123" s="372">
        <v>8928.7692599999991</v>
      </c>
      <c r="P123" s="76">
        <f>O123/$O$214</f>
        <v>1.725714600081163E-2</v>
      </c>
      <c r="Q123" s="76"/>
      <c r="R123" s="372">
        <v>4009637</v>
      </c>
      <c r="S123" s="372"/>
      <c r="T123" s="372">
        <v>4009637</v>
      </c>
      <c r="U123" s="427">
        <f t="shared" si="61"/>
        <v>0</v>
      </c>
      <c r="V123" s="112">
        <f t="shared" si="62"/>
        <v>0</v>
      </c>
      <c r="W123" s="372">
        <v>104807.06617949699</v>
      </c>
      <c r="X123" s="71">
        <f t="shared" ref="X123:X133" si="91">W123-O123</f>
        <v>95878.296919496992</v>
      </c>
      <c r="Y123" s="76">
        <f>X123/W123</f>
        <v>0.9148075641702611</v>
      </c>
      <c r="Z123" s="76">
        <f>1-Y123</f>
        <v>8.5192435829738899E-2</v>
      </c>
      <c r="AA123" s="126">
        <f t="shared" ref="AA123:AA133" si="92">Z123*Q123</f>
        <v>0</v>
      </c>
      <c r="AB123" s="126">
        <f t="shared" si="89"/>
        <v>8.5192435829738899E-2</v>
      </c>
      <c r="AC123" s="126">
        <f t="shared" si="89"/>
        <v>-8.5192435829738899E-2</v>
      </c>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row>
    <row r="124" spans="2:69" x14ac:dyDescent="0.2">
      <c r="B124" s="69">
        <f t="shared" ref="B124:B135" si="93">B123</f>
        <v>1</v>
      </c>
      <c r="C124" s="69">
        <f t="shared" si="70"/>
        <v>9</v>
      </c>
      <c r="D124" s="69" t="str">
        <f t="shared" ref="D124:D131" si="94">D123</f>
        <v>Avista</v>
      </c>
      <c r="F124" s="70">
        <v>2003</v>
      </c>
      <c r="G124" s="372">
        <v>879.3</v>
      </c>
      <c r="H124" s="372"/>
      <c r="I124" s="372"/>
      <c r="J124" s="76">
        <f t="shared" si="90"/>
        <v>0.45953051591993838</v>
      </c>
      <c r="K124" s="71"/>
      <c r="L124" s="71"/>
      <c r="M124" s="71"/>
      <c r="N124" s="71"/>
      <c r="O124" s="372">
        <v>12271.156499999999</v>
      </c>
      <c r="P124" s="76">
        <f>O124/$O$215</f>
        <v>2.1879858068684657E-2</v>
      </c>
      <c r="Q124" s="76"/>
      <c r="R124" s="372">
        <v>3539611</v>
      </c>
      <c r="S124" s="372"/>
      <c r="T124" s="372">
        <v>3539611</v>
      </c>
      <c r="U124" s="427">
        <f t="shared" si="61"/>
        <v>0</v>
      </c>
      <c r="V124" s="112">
        <f t="shared" si="62"/>
        <v>0</v>
      </c>
      <c r="W124" s="372">
        <v>168771.85214258402</v>
      </c>
      <c r="X124" s="71">
        <f t="shared" si="91"/>
        <v>156500.695642584</v>
      </c>
      <c r="Y124" s="76">
        <f t="shared" ref="Y124:Y133" si="95">X124/W124</f>
        <v>0.92729145088937615</v>
      </c>
      <c r="Z124" s="76">
        <f t="shared" ref="Z124:Z133" si="96">1-Y124</f>
        <v>7.2708549110623855E-2</v>
      </c>
      <c r="AA124" s="126">
        <f t="shared" si="92"/>
        <v>0</v>
      </c>
      <c r="AB124" s="126">
        <f t="shared" ref="AB124:AC133" si="97">Z124-AA124</f>
        <v>7.2708549110623855E-2</v>
      </c>
      <c r="AC124" s="126">
        <f t="shared" si="97"/>
        <v>-7.2708549110623855E-2</v>
      </c>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row>
    <row r="125" spans="2:69" x14ac:dyDescent="0.2">
      <c r="B125" s="69">
        <f t="shared" si="93"/>
        <v>1</v>
      </c>
      <c r="C125" s="69">
        <f t="shared" si="70"/>
        <v>9</v>
      </c>
      <c r="D125" s="69" t="str">
        <f t="shared" si="94"/>
        <v>Avista</v>
      </c>
      <c r="F125" s="70">
        <v>2004</v>
      </c>
      <c r="G125" s="372">
        <v>879.3</v>
      </c>
      <c r="H125" s="372"/>
      <c r="I125" s="372"/>
      <c r="J125" s="76">
        <f t="shared" si="90"/>
        <v>0.49191306181182937</v>
      </c>
      <c r="K125" s="71"/>
      <c r="L125" s="71"/>
      <c r="M125" s="71"/>
      <c r="N125" s="71"/>
      <c r="O125" s="372">
        <v>13244.60925</v>
      </c>
      <c r="P125" s="76">
        <f>O125/$O$216</f>
        <v>2.2049267238499332E-2</v>
      </c>
      <c r="Q125" s="76"/>
      <c r="R125" s="372">
        <v>3789043</v>
      </c>
      <c r="S125" s="372"/>
      <c r="T125" s="372">
        <v>3789045</v>
      </c>
      <c r="U125" s="427">
        <f t="shared" si="61"/>
        <v>-2</v>
      </c>
      <c r="V125" s="112">
        <f t="shared" si="62"/>
        <v>-5.278377680063277E-7</v>
      </c>
      <c r="W125" s="372">
        <v>203384.96039113982</v>
      </c>
      <c r="X125" s="71">
        <f t="shared" si="91"/>
        <v>190140.35114113981</v>
      </c>
      <c r="Y125" s="76">
        <f t="shared" si="95"/>
        <v>0.93487911188453343</v>
      </c>
      <c r="Z125" s="76">
        <f t="shared" si="96"/>
        <v>6.5120888115466569E-2</v>
      </c>
      <c r="AA125" s="126">
        <f t="shared" si="92"/>
        <v>0</v>
      </c>
      <c r="AB125" s="126">
        <f t="shared" si="97"/>
        <v>6.5120888115466569E-2</v>
      </c>
      <c r="AC125" s="126">
        <f t="shared" si="97"/>
        <v>-6.5120888115466569E-2</v>
      </c>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row>
    <row r="126" spans="2:69" x14ac:dyDescent="0.2">
      <c r="B126" s="69">
        <f t="shared" si="93"/>
        <v>1</v>
      </c>
      <c r="C126" s="69">
        <f t="shared" si="70"/>
        <v>9</v>
      </c>
      <c r="D126" s="69" t="str">
        <f t="shared" si="94"/>
        <v>Avista</v>
      </c>
      <c r="F126" s="70">
        <v>2005</v>
      </c>
      <c r="G126" s="372">
        <v>899.2</v>
      </c>
      <c r="H126" s="372"/>
      <c r="I126" s="372"/>
      <c r="J126" s="76">
        <f t="shared" si="90"/>
        <v>0.45840125266091419</v>
      </c>
      <c r="K126" s="71"/>
      <c r="L126" s="71"/>
      <c r="M126" s="71"/>
      <c r="N126" s="71"/>
      <c r="O126" s="372">
        <v>11327.26065</v>
      </c>
      <c r="P126" s="76">
        <f>O126/$O$217</f>
        <v>1.8132818179990823E-2</v>
      </c>
      <c r="Q126" s="76"/>
      <c r="R126" s="372">
        <v>3610823</v>
      </c>
      <c r="S126" s="372"/>
      <c r="T126" s="372">
        <v>3610823</v>
      </c>
      <c r="U126" s="427">
        <f t="shared" si="61"/>
        <v>0</v>
      </c>
      <c r="V126" s="112">
        <f t="shared" si="62"/>
        <v>0</v>
      </c>
      <c r="W126" s="372">
        <v>251921.13086660273</v>
      </c>
      <c r="X126" s="71">
        <f t="shared" si="91"/>
        <v>240593.87021660272</v>
      </c>
      <c r="Y126" s="76">
        <f t="shared" si="95"/>
        <v>0.9550364806198095</v>
      </c>
      <c r="Z126" s="76">
        <f t="shared" si="96"/>
        <v>4.4963519380190498E-2</v>
      </c>
      <c r="AA126" s="126">
        <f t="shared" si="92"/>
        <v>0</v>
      </c>
      <c r="AB126" s="126">
        <f t="shared" si="97"/>
        <v>4.4963519380190498E-2</v>
      </c>
      <c r="AC126" s="126">
        <f t="shared" si="97"/>
        <v>-4.4963519380190498E-2</v>
      </c>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row>
    <row r="127" spans="2:69" x14ac:dyDescent="0.2">
      <c r="B127" s="69">
        <f t="shared" si="93"/>
        <v>1</v>
      </c>
      <c r="C127" s="69">
        <f t="shared" si="70"/>
        <v>9</v>
      </c>
      <c r="D127" s="69" t="str">
        <f t="shared" si="94"/>
        <v>Avista</v>
      </c>
      <c r="F127" s="70">
        <v>2006</v>
      </c>
      <c r="G127" s="372">
        <v>906.55</v>
      </c>
      <c r="H127" s="372"/>
      <c r="I127" s="372"/>
      <c r="J127" s="76">
        <f t="shared" si="90"/>
        <v>0.51976772796862203</v>
      </c>
      <c r="K127" s="71"/>
      <c r="L127" s="71"/>
      <c r="M127" s="71"/>
      <c r="N127" s="71"/>
      <c r="O127" s="372">
        <v>12126.034950000001</v>
      </c>
      <c r="P127" s="76">
        <f>O127/$O$218</f>
        <v>1.8250208945714146E-2</v>
      </c>
      <c r="Q127" s="76"/>
      <c r="R127" s="372">
        <v>4127672</v>
      </c>
      <c r="S127" s="372"/>
      <c r="T127" s="372">
        <v>4127672</v>
      </c>
      <c r="U127" s="427">
        <f t="shared" si="61"/>
        <v>0</v>
      </c>
      <c r="V127" s="112">
        <f t="shared" si="62"/>
        <v>0</v>
      </c>
      <c r="W127" s="372">
        <v>230650.79512184908</v>
      </c>
      <c r="X127" s="71">
        <f t="shared" si="91"/>
        <v>218524.76017184908</v>
      </c>
      <c r="Y127" s="76">
        <f t="shared" si="95"/>
        <v>0.94742686690677125</v>
      </c>
      <c r="Z127" s="76">
        <f t="shared" si="96"/>
        <v>5.2573133093228752E-2</v>
      </c>
      <c r="AA127" s="126">
        <f t="shared" si="92"/>
        <v>0</v>
      </c>
      <c r="AB127" s="126">
        <f t="shared" si="97"/>
        <v>5.2573133093228752E-2</v>
      </c>
      <c r="AC127" s="126">
        <f t="shared" si="97"/>
        <v>-5.2573133093228752E-2</v>
      </c>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row>
    <row r="128" spans="2:69" x14ac:dyDescent="0.2">
      <c r="B128" s="69">
        <f t="shared" si="93"/>
        <v>1</v>
      </c>
      <c r="C128" s="69">
        <f t="shared" si="70"/>
        <v>9</v>
      </c>
      <c r="D128" s="69" t="str">
        <f t="shared" si="94"/>
        <v>Avista</v>
      </c>
      <c r="F128" s="70">
        <v>2007</v>
      </c>
      <c r="G128" s="372">
        <v>906.55</v>
      </c>
      <c r="H128" s="372"/>
      <c r="I128" s="372"/>
      <c r="J128" s="76">
        <f t="shared" si="90"/>
        <v>0.46450263417759485</v>
      </c>
      <c r="K128" s="71"/>
      <c r="L128" s="71"/>
      <c r="M128" s="71"/>
      <c r="N128" s="71"/>
      <c r="O128" s="372">
        <v>12602.87766</v>
      </c>
      <c r="P128" s="76">
        <f>O128/$O$219</f>
        <v>1.7473110174795449E-2</v>
      </c>
      <c r="Q128" s="76"/>
      <c r="R128" s="372">
        <v>3688791</v>
      </c>
      <c r="S128" s="372"/>
      <c r="T128" s="372">
        <v>3688791</v>
      </c>
      <c r="U128" s="427">
        <f t="shared" si="61"/>
        <v>0</v>
      </c>
      <c r="V128" s="112">
        <f t="shared" si="62"/>
        <v>0</v>
      </c>
      <c r="W128" s="372">
        <v>243127.87286561809</v>
      </c>
      <c r="X128" s="71">
        <f t="shared" si="91"/>
        <v>230524.99520561809</v>
      </c>
      <c r="Y128" s="76">
        <f t="shared" si="95"/>
        <v>0.94816358358481645</v>
      </c>
      <c r="Z128" s="76">
        <f t="shared" si="96"/>
        <v>5.183641641518355E-2</v>
      </c>
      <c r="AA128" s="126">
        <f t="shared" si="92"/>
        <v>0</v>
      </c>
      <c r="AB128" s="126">
        <f t="shared" si="97"/>
        <v>5.183641641518355E-2</v>
      </c>
      <c r="AC128" s="126">
        <f t="shared" si="97"/>
        <v>-5.183641641518355E-2</v>
      </c>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row>
    <row r="129" spans="2:69" x14ac:dyDescent="0.2">
      <c r="B129" s="69">
        <f t="shared" si="93"/>
        <v>1</v>
      </c>
      <c r="C129" s="69">
        <f t="shared" si="70"/>
        <v>9</v>
      </c>
      <c r="D129" s="69" t="str">
        <f t="shared" si="94"/>
        <v>Avista</v>
      </c>
      <c r="F129" s="70">
        <v>2008</v>
      </c>
      <c r="G129" s="372">
        <v>913.6</v>
      </c>
      <c r="H129" s="372"/>
      <c r="I129" s="372"/>
      <c r="J129" s="76">
        <f t="shared" si="90"/>
        <v>0.48121773764684245</v>
      </c>
      <c r="K129" s="71"/>
      <c r="L129" s="71"/>
      <c r="M129" s="71"/>
      <c r="N129" s="71"/>
      <c r="O129" s="372">
        <v>11931.757680000001</v>
      </c>
      <c r="P129" s="76">
        <f>O129/$O$220</f>
        <v>1.5264874777169757E-2</v>
      </c>
      <c r="Q129" s="76"/>
      <c r="R129" s="372">
        <v>3851251</v>
      </c>
      <c r="S129" s="372"/>
      <c r="T129" s="372">
        <v>3851251</v>
      </c>
      <c r="U129" s="427">
        <f t="shared" si="61"/>
        <v>0</v>
      </c>
      <c r="V129" s="112">
        <f t="shared" si="62"/>
        <v>0</v>
      </c>
      <c r="W129" s="372">
        <v>289635.18281362311</v>
      </c>
      <c r="X129" s="71">
        <f t="shared" si="91"/>
        <v>277703.42513362312</v>
      </c>
      <c r="Y129" s="76">
        <f t="shared" si="95"/>
        <v>0.95880418406323953</v>
      </c>
      <c r="Z129" s="76">
        <f t="shared" si="96"/>
        <v>4.1195815936760471E-2</v>
      </c>
      <c r="AA129" s="126">
        <f t="shared" si="92"/>
        <v>0</v>
      </c>
      <c r="AB129" s="126">
        <f t="shared" si="97"/>
        <v>4.1195815936760471E-2</v>
      </c>
      <c r="AC129" s="126">
        <f t="shared" si="97"/>
        <v>-4.1195815936760471E-2</v>
      </c>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row>
    <row r="130" spans="2:69" x14ac:dyDescent="0.2">
      <c r="B130" s="69">
        <f t="shared" si="93"/>
        <v>1</v>
      </c>
      <c r="C130" s="69">
        <f t="shared" si="70"/>
        <v>9</v>
      </c>
      <c r="D130" s="69" t="str">
        <f t="shared" si="94"/>
        <v>Avista</v>
      </c>
      <c r="F130" s="70">
        <v>2009</v>
      </c>
      <c r="G130" s="372">
        <v>913.6</v>
      </c>
      <c r="H130" s="372"/>
      <c r="I130" s="372"/>
      <c r="J130" s="76">
        <f t="shared" si="90"/>
        <v>0.47053567501539395</v>
      </c>
      <c r="K130" s="71"/>
      <c r="L130" s="71"/>
      <c r="M130" s="71"/>
      <c r="N130" s="71"/>
      <c r="O130" s="372">
        <v>14020.81551</v>
      </c>
      <c r="P130" s="76">
        <f>O130/$O$221</f>
        <v>1.7934629954397908E-2</v>
      </c>
      <c r="Q130" s="76"/>
      <c r="R130" s="372">
        <v>3765761</v>
      </c>
      <c r="S130" s="372"/>
      <c r="T130" s="372">
        <v>3765761</v>
      </c>
      <c r="U130" s="427">
        <f t="shared" si="61"/>
        <v>0</v>
      </c>
      <c r="V130" s="112">
        <f t="shared" si="62"/>
        <v>0</v>
      </c>
      <c r="W130" s="372">
        <v>147856.18768055557</v>
      </c>
      <c r="X130" s="71">
        <f t="shared" si="91"/>
        <v>133835.37217055558</v>
      </c>
      <c r="Y130" s="76">
        <f t="shared" si="95"/>
        <v>0.90517261583741038</v>
      </c>
      <c r="Z130" s="76">
        <f t="shared" si="96"/>
        <v>9.4827384162589623E-2</v>
      </c>
      <c r="AA130" s="126">
        <f t="shared" si="92"/>
        <v>0</v>
      </c>
      <c r="AB130" s="126">
        <f t="shared" si="97"/>
        <v>9.4827384162589623E-2</v>
      </c>
      <c r="AC130" s="126">
        <f t="shared" si="97"/>
        <v>-9.4827384162589623E-2</v>
      </c>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row>
    <row r="131" spans="2:69" x14ac:dyDescent="0.2">
      <c r="B131" s="69">
        <f t="shared" si="93"/>
        <v>1</v>
      </c>
      <c r="C131" s="69">
        <f t="shared" ref="C131:C167" si="98">IF(D131=D130,C130,C130+1)</f>
        <v>9</v>
      </c>
      <c r="D131" s="69" t="str">
        <f t="shared" si="94"/>
        <v>Avista</v>
      </c>
      <c r="F131" s="70">
        <v>2010</v>
      </c>
      <c r="G131" s="372">
        <v>913.8</v>
      </c>
      <c r="H131" s="372"/>
      <c r="I131" s="372"/>
      <c r="J131" s="76">
        <f t="shared" si="90"/>
        <v>0.43643184014567099</v>
      </c>
      <c r="K131" s="71"/>
      <c r="L131" s="71"/>
      <c r="M131" s="71"/>
      <c r="N131" s="71"/>
      <c r="O131" s="372">
        <v>13328.143469999999</v>
      </c>
      <c r="P131" s="76">
        <f>O131/$O$222</f>
        <v>1.5860123813220887E-2</v>
      </c>
      <c r="Q131" s="76"/>
      <c r="R131" s="372">
        <v>3493588</v>
      </c>
      <c r="S131" s="372"/>
      <c r="T131" s="372">
        <v>3493588</v>
      </c>
      <c r="U131" s="427">
        <f t="shared" si="61"/>
        <v>0</v>
      </c>
      <c r="V131" s="112">
        <f t="shared" si="62"/>
        <v>0</v>
      </c>
      <c r="W131" s="372">
        <v>141590.35549182122</v>
      </c>
      <c r="X131" s="71">
        <f t="shared" si="91"/>
        <v>128262.21202182122</v>
      </c>
      <c r="Y131" s="76">
        <f t="shared" si="95"/>
        <v>0.90586828160926625</v>
      </c>
      <c r="Z131" s="76">
        <f t="shared" si="96"/>
        <v>9.4131718390733754E-2</v>
      </c>
      <c r="AA131" s="126">
        <f t="shared" si="92"/>
        <v>0</v>
      </c>
      <c r="AB131" s="126">
        <f t="shared" si="97"/>
        <v>9.4131718390733754E-2</v>
      </c>
      <c r="AC131" s="126">
        <f t="shared" si="97"/>
        <v>-9.4131718390733754E-2</v>
      </c>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row>
    <row r="132" spans="2:69" x14ac:dyDescent="0.2">
      <c r="B132" s="69">
        <f t="shared" si="93"/>
        <v>1</v>
      </c>
      <c r="C132" s="69">
        <f t="shared" si="98"/>
        <v>9</v>
      </c>
      <c r="D132" s="69" t="str">
        <f>D131</f>
        <v>Avista</v>
      </c>
      <c r="F132" s="70">
        <v>2011</v>
      </c>
      <c r="G132" s="372">
        <v>913.6</v>
      </c>
      <c r="H132" s="372"/>
      <c r="I132" s="372"/>
      <c r="J132" s="76">
        <f t="shared" si="90"/>
        <v>0.56656453170357224</v>
      </c>
      <c r="K132" s="71"/>
      <c r="L132" s="71"/>
      <c r="M132" s="71"/>
      <c r="N132" s="71"/>
      <c r="O132" s="372">
        <v>16273.347719999996</v>
      </c>
      <c r="P132" s="76">
        <f>O132/$O$223</f>
        <v>1.9996378024328822E-2</v>
      </c>
      <c r="Q132" s="76"/>
      <c r="R132" s="372">
        <v>4534293</v>
      </c>
      <c r="S132" s="372"/>
      <c r="T132" s="372">
        <v>4534293</v>
      </c>
      <c r="U132" s="427">
        <f t="shared" si="61"/>
        <v>0</v>
      </c>
      <c r="V132" s="112">
        <f t="shared" si="62"/>
        <v>0</v>
      </c>
      <c r="W132" s="372">
        <v>153924.95643685196</v>
      </c>
      <c r="X132" s="71">
        <f t="shared" si="91"/>
        <v>137651.60871685197</v>
      </c>
      <c r="Y132" s="76">
        <f t="shared" si="95"/>
        <v>0.8942773927197688</v>
      </c>
      <c r="Z132" s="76">
        <f t="shared" si="96"/>
        <v>0.1057226072802312</v>
      </c>
      <c r="AA132" s="126">
        <f t="shared" si="92"/>
        <v>0</v>
      </c>
      <c r="AB132" s="126">
        <f t="shared" si="97"/>
        <v>0.1057226072802312</v>
      </c>
      <c r="AC132" s="126">
        <f t="shared" si="97"/>
        <v>-0.1057226072802312</v>
      </c>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row>
    <row r="133" spans="2:69" x14ac:dyDescent="0.2">
      <c r="B133" s="69">
        <f t="shared" si="93"/>
        <v>1</v>
      </c>
      <c r="C133" s="69">
        <f t="shared" si="98"/>
        <v>9</v>
      </c>
      <c r="D133" s="69" t="str">
        <f>D132</f>
        <v>Avista</v>
      </c>
      <c r="F133" s="70">
        <v>2012</v>
      </c>
      <c r="G133" s="372">
        <v>913.6</v>
      </c>
      <c r="H133" s="372"/>
      <c r="I133" s="372"/>
      <c r="J133" s="76">
        <f t="shared" si="90"/>
        <v>0.51083587733608427</v>
      </c>
      <c r="K133" s="71"/>
      <c r="L133" s="71"/>
      <c r="M133" s="71"/>
      <c r="N133" s="71"/>
      <c r="O133" s="372">
        <v>15768.17073</v>
      </c>
      <c r="P133" s="76">
        <f>O133/$O$224</f>
        <v>1.9110697579092711E-2</v>
      </c>
      <c r="Q133" s="76"/>
      <c r="R133" s="372">
        <v>4088289</v>
      </c>
      <c r="S133" s="372"/>
      <c r="T133" s="372">
        <v>4088289</v>
      </c>
      <c r="U133" s="427">
        <f t="shared" si="61"/>
        <v>0</v>
      </c>
      <c r="V133" s="112">
        <f t="shared" si="62"/>
        <v>0</v>
      </c>
      <c r="W133" s="372">
        <v>98866.614621880741</v>
      </c>
      <c r="X133" s="71">
        <f t="shared" si="91"/>
        <v>83098.443891880743</v>
      </c>
      <c r="Y133" s="76">
        <f t="shared" si="95"/>
        <v>0.84051066388481099</v>
      </c>
      <c r="Z133" s="76">
        <f t="shared" si="96"/>
        <v>0.15948933611518901</v>
      </c>
      <c r="AA133" s="126">
        <f t="shared" si="92"/>
        <v>0</v>
      </c>
      <c r="AB133" s="126">
        <f t="shared" si="97"/>
        <v>0.15948933611518901</v>
      </c>
      <c r="AC133" s="126">
        <f t="shared" si="97"/>
        <v>-0.15948933611518901</v>
      </c>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c r="BI133" s="240"/>
      <c r="BJ133" s="240"/>
      <c r="BK133" s="240"/>
      <c r="BL133" s="240"/>
      <c r="BM133" s="240"/>
      <c r="BN133" s="240"/>
      <c r="BO133" s="240"/>
      <c r="BP133" s="240"/>
      <c r="BQ133" s="240"/>
    </row>
    <row r="134" spans="2:69" x14ac:dyDescent="0.2">
      <c r="B134" s="69">
        <f t="shared" si="93"/>
        <v>1</v>
      </c>
      <c r="C134" s="69">
        <f t="shared" si="98"/>
        <v>9</v>
      </c>
      <c r="D134" s="69" t="str">
        <f>D133</f>
        <v>Avista</v>
      </c>
      <c r="F134" s="70">
        <v>2013</v>
      </c>
      <c r="G134" s="372">
        <v>920.8</v>
      </c>
      <c r="H134" s="372"/>
      <c r="I134" s="372"/>
      <c r="J134" s="76">
        <f t="shared" si="90"/>
        <v>0.45198834446123881</v>
      </c>
      <c r="K134" s="69"/>
      <c r="L134" s="69"/>
      <c r="M134" s="69"/>
      <c r="N134" s="69"/>
      <c r="O134" s="372">
        <v>18703.015920000002</v>
      </c>
      <c r="P134" s="76">
        <f>O134/$O$225</f>
        <v>2.2214132869093121E-2</v>
      </c>
      <c r="Q134" s="69"/>
      <c r="R134" s="372">
        <v>3645832</v>
      </c>
      <c r="S134" s="372"/>
      <c r="T134" s="372">
        <v>3645832</v>
      </c>
      <c r="U134" s="427">
        <f t="shared" si="61"/>
        <v>0</v>
      </c>
      <c r="V134" s="112">
        <f t="shared" si="62"/>
        <v>0</v>
      </c>
      <c r="W134" s="372">
        <v>159385.21893750963</v>
      </c>
      <c r="X134" s="71">
        <f>W134-O134</f>
        <v>140682.20301750963</v>
      </c>
      <c r="Y134" s="76">
        <f>X134/W134</f>
        <v>0.88265526725327703</v>
      </c>
      <c r="Z134" s="76">
        <f>1-Y134</f>
        <v>0.11734473274672297</v>
      </c>
      <c r="AA134" s="126">
        <f>Z134*Q134</f>
        <v>0</v>
      </c>
      <c r="AB134" s="126">
        <f t="shared" ref="AB134:AC136" si="99">Z134-AA134</f>
        <v>0.11734473274672297</v>
      </c>
      <c r="AC134" s="126">
        <f t="shared" si="99"/>
        <v>-0.11734473274672297</v>
      </c>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row>
    <row r="135" spans="2:69" x14ac:dyDescent="0.2">
      <c r="B135" s="69">
        <f t="shared" si="93"/>
        <v>1</v>
      </c>
      <c r="C135" s="69">
        <f t="shared" si="98"/>
        <v>9</v>
      </c>
      <c r="D135" s="69" t="str">
        <f>D134</f>
        <v>Avista</v>
      </c>
      <c r="F135" s="70">
        <v>2014</v>
      </c>
      <c r="G135" s="372">
        <v>920.8</v>
      </c>
      <c r="H135" s="372"/>
      <c r="I135" s="372"/>
      <c r="J135" s="76">
        <f t="shared" si="90"/>
        <v>0.51366230575755056</v>
      </c>
      <c r="K135" s="69"/>
      <c r="L135" s="69"/>
      <c r="M135" s="69"/>
      <c r="N135" s="69"/>
      <c r="O135" s="372">
        <v>15173.127479999999</v>
      </c>
      <c r="P135" s="76">
        <f>O135/$O$226</f>
        <v>1.7534362418233789E-2</v>
      </c>
      <c r="Q135" s="69"/>
      <c r="R135" s="372">
        <v>4143307</v>
      </c>
      <c r="S135" s="372"/>
      <c r="T135" s="372">
        <v>4143307</v>
      </c>
      <c r="U135" s="427">
        <f t="shared" si="61"/>
        <v>0</v>
      </c>
      <c r="V135" s="112">
        <f t="shared" si="62"/>
        <v>0</v>
      </c>
      <c r="W135" s="372">
        <v>187263.14164054944</v>
      </c>
      <c r="X135" s="71">
        <f>W135-O135</f>
        <v>172090.01416054944</v>
      </c>
      <c r="Y135" s="76">
        <f>X135/W135</f>
        <v>0.91897429816100851</v>
      </c>
      <c r="Z135" s="76">
        <f>1-Y135</f>
        <v>8.1025701838991493E-2</v>
      </c>
      <c r="AA135" s="126">
        <f>Z135*Q135</f>
        <v>0</v>
      </c>
      <c r="AB135" s="126">
        <f t="shared" si="99"/>
        <v>8.1025701838991493E-2</v>
      </c>
      <c r="AC135" s="126">
        <f t="shared" si="99"/>
        <v>-8.1025701838991493E-2</v>
      </c>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row>
    <row r="136" spans="2:69" x14ac:dyDescent="0.2">
      <c r="B136" s="72">
        <f>'OPG hydro peers'!B14</f>
        <v>1</v>
      </c>
      <c r="C136" s="72">
        <f t="shared" si="98"/>
        <v>10</v>
      </c>
      <c r="D136" s="72" t="str">
        <f>'OPG hydro peers'!D14</f>
        <v>Portland</v>
      </c>
      <c r="F136" s="73">
        <v>2002</v>
      </c>
      <c r="G136" s="374">
        <v>778.72</v>
      </c>
      <c r="H136" s="374"/>
      <c r="I136" s="374"/>
      <c r="J136" s="75">
        <f t="shared" ref="J136:J148" si="100">R136/(G136*8760)</f>
        <v>0.44956766073444021</v>
      </c>
      <c r="K136" s="127"/>
      <c r="L136" s="127"/>
      <c r="M136" s="127"/>
      <c r="N136" s="127"/>
      <c r="O136" s="373">
        <v>12790.249709999998</v>
      </c>
      <c r="P136" s="75">
        <f>O136/$O$214</f>
        <v>2.4720451408810244E-2</v>
      </c>
      <c r="Q136" s="75"/>
      <c r="R136" s="374">
        <v>3066765</v>
      </c>
      <c r="S136" s="374"/>
      <c r="T136" s="493">
        <v>1760192</v>
      </c>
      <c r="U136" s="427">
        <f t="shared" si="61"/>
        <v>1306573</v>
      </c>
      <c r="V136" s="112">
        <f t="shared" si="62"/>
        <v>0.42604275189002094</v>
      </c>
      <c r="W136" s="373">
        <v>69239.356767650985</v>
      </c>
      <c r="X136" s="127">
        <f t="shared" ref="X136:X146" si="101">W136-O136</f>
        <v>56449.107057650988</v>
      </c>
      <c r="Y136" s="75">
        <f>X136/W136</f>
        <v>0.81527486234569302</v>
      </c>
      <c r="Z136" s="75">
        <f>1-Y136</f>
        <v>0.18472513765430698</v>
      </c>
      <c r="AA136" s="125">
        <f t="shared" ref="AA136:AA146" si="102">Z136*Q136</f>
        <v>0</v>
      </c>
      <c r="AB136" s="125">
        <f t="shared" si="99"/>
        <v>0.18472513765430698</v>
      </c>
      <c r="AC136" s="125">
        <f t="shared" si="99"/>
        <v>-0.18472513765430698</v>
      </c>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row>
    <row r="137" spans="2:69" x14ac:dyDescent="0.2">
      <c r="B137" s="72">
        <f t="shared" ref="B137:B148" si="103">B136</f>
        <v>1</v>
      </c>
      <c r="C137" s="72">
        <f t="shared" si="98"/>
        <v>10</v>
      </c>
      <c r="D137" s="72" t="str">
        <f t="shared" ref="D137:D148" si="104">D136</f>
        <v>Portland</v>
      </c>
      <c r="F137" s="73">
        <v>2003</v>
      </c>
      <c r="G137" s="374">
        <v>778.72</v>
      </c>
      <c r="H137" s="374"/>
      <c r="I137" s="374"/>
      <c r="J137" s="75">
        <f t="shared" si="100"/>
        <v>0.44265020903053176</v>
      </c>
      <c r="K137" s="127"/>
      <c r="L137" s="127"/>
      <c r="M137" s="127"/>
      <c r="N137" s="127"/>
      <c r="O137" s="373">
        <v>12851.38932</v>
      </c>
      <c r="P137" s="75">
        <f>O137/$O$215</f>
        <v>2.2914431439857347E-2</v>
      </c>
      <c r="Q137" s="75"/>
      <c r="R137" s="374">
        <v>3019577</v>
      </c>
      <c r="S137" s="374"/>
      <c r="T137" s="493">
        <v>1725678</v>
      </c>
      <c r="U137" s="427">
        <f t="shared" si="61"/>
        <v>1293899</v>
      </c>
      <c r="V137" s="112">
        <f t="shared" si="62"/>
        <v>0.4285033963366392</v>
      </c>
      <c r="W137" s="373">
        <v>112201.44279046502</v>
      </c>
      <c r="X137" s="127">
        <f t="shared" si="101"/>
        <v>99350.05347046502</v>
      </c>
      <c r="Y137" s="75">
        <f t="shared" ref="Y137:Y146" si="105">X137/W137</f>
        <v>0.88546146109725321</v>
      </c>
      <c r="Z137" s="75">
        <f t="shared" ref="Z137:Z146" si="106">1-Y137</f>
        <v>0.11453853890274679</v>
      </c>
      <c r="AA137" s="125">
        <f t="shared" si="102"/>
        <v>0</v>
      </c>
      <c r="AB137" s="125">
        <f t="shared" ref="AB137:AC146" si="107">Z137-AA137</f>
        <v>0.11453853890274679</v>
      </c>
      <c r="AC137" s="125">
        <f t="shared" si="107"/>
        <v>-0.11453853890274679</v>
      </c>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row>
    <row r="138" spans="2:69" x14ac:dyDescent="0.2">
      <c r="B138" s="72">
        <f t="shared" si="103"/>
        <v>1</v>
      </c>
      <c r="C138" s="72">
        <f t="shared" si="98"/>
        <v>10</v>
      </c>
      <c r="D138" s="72" t="str">
        <f t="shared" si="104"/>
        <v>Portland</v>
      </c>
      <c r="F138" s="73">
        <v>2004</v>
      </c>
      <c r="G138" s="374">
        <v>778.7</v>
      </c>
      <c r="H138" s="374"/>
      <c r="I138" s="374"/>
      <c r="J138" s="75">
        <f t="shared" si="100"/>
        <v>0.45413618177585519</v>
      </c>
      <c r="K138" s="127"/>
      <c r="L138" s="127"/>
      <c r="M138" s="127"/>
      <c r="N138" s="127"/>
      <c r="O138" s="373">
        <v>12311.684999999999</v>
      </c>
      <c r="P138" s="75">
        <f>O138/$O$216</f>
        <v>2.0496160180884435E-2</v>
      </c>
      <c r="Q138" s="75"/>
      <c r="R138" s="374">
        <v>3097850</v>
      </c>
      <c r="S138" s="374"/>
      <c r="T138" s="493">
        <v>1728452</v>
      </c>
      <c r="U138" s="427">
        <f t="shared" si="61"/>
        <v>1369398</v>
      </c>
      <c r="V138" s="112">
        <f t="shared" si="62"/>
        <v>0.44204787191116418</v>
      </c>
      <c r="W138" s="373">
        <v>123243.535845429</v>
      </c>
      <c r="X138" s="127">
        <f t="shared" si="101"/>
        <v>110931.850845429</v>
      </c>
      <c r="Y138" s="75">
        <f t="shared" si="105"/>
        <v>0.90010279309544305</v>
      </c>
      <c r="Z138" s="75">
        <f t="shared" si="106"/>
        <v>9.9897206904556946E-2</v>
      </c>
      <c r="AA138" s="125">
        <f t="shared" si="102"/>
        <v>0</v>
      </c>
      <c r="AB138" s="125">
        <f t="shared" si="107"/>
        <v>9.9897206904556946E-2</v>
      </c>
      <c r="AC138" s="125">
        <f t="shared" si="107"/>
        <v>-9.9897206904556946E-2</v>
      </c>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240"/>
      <c r="BO138" s="240"/>
      <c r="BP138" s="240"/>
      <c r="BQ138" s="240"/>
    </row>
    <row r="139" spans="2:69" x14ac:dyDescent="0.2">
      <c r="B139" s="72">
        <f t="shared" si="103"/>
        <v>1</v>
      </c>
      <c r="C139" s="72">
        <f t="shared" si="98"/>
        <v>10</v>
      </c>
      <c r="D139" s="72" t="str">
        <f t="shared" si="104"/>
        <v>Portland</v>
      </c>
      <c r="F139" s="73">
        <v>2005</v>
      </c>
      <c r="G139" s="374">
        <v>778.7</v>
      </c>
      <c r="H139" s="374"/>
      <c r="I139" s="374"/>
      <c r="J139" s="75">
        <f t="shared" si="100"/>
        <v>0.41597634038231379</v>
      </c>
      <c r="K139" s="127"/>
      <c r="L139" s="127"/>
      <c r="M139" s="127"/>
      <c r="N139" s="127"/>
      <c r="O139" s="373">
        <v>13572.692070000001</v>
      </c>
      <c r="P139" s="75">
        <f>O139/$O$217</f>
        <v>2.1727332417155361E-2</v>
      </c>
      <c r="Q139" s="75"/>
      <c r="R139" s="374">
        <v>2837546</v>
      </c>
      <c r="S139" s="374"/>
      <c r="T139" s="493">
        <v>1566068</v>
      </c>
      <c r="U139" s="427">
        <f t="shared" si="61"/>
        <v>1271478</v>
      </c>
      <c r="V139" s="112">
        <f t="shared" si="62"/>
        <v>0.44809070936647372</v>
      </c>
      <c r="W139" s="373">
        <v>157186.74686761203</v>
      </c>
      <c r="X139" s="127">
        <f t="shared" si="101"/>
        <v>143614.05479761204</v>
      </c>
      <c r="Y139" s="75">
        <f t="shared" si="105"/>
        <v>0.91365243991319844</v>
      </c>
      <c r="Z139" s="75">
        <f t="shared" si="106"/>
        <v>8.6347560086801556E-2</v>
      </c>
      <c r="AA139" s="125">
        <f t="shared" si="102"/>
        <v>0</v>
      </c>
      <c r="AB139" s="125">
        <f t="shared" si="107"/>
        <v>8.6347560086801556E-2</v>
      </c>
      <c r="AC139" s="125">
        <f t="shared" si="107"/>
        <v>-8.6347560086801556E-2</v>
      </c>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c r="BJ139" s="240"/>
      <c r="BK139" s="240"/>
      <c r="BL139" s="240"/>
      <c r="BM139" s="240"/>
      <c r="BN139" s="240"/>
      <c r="BO139" s="240"/>
      <c r="BP139" s="240"/>
      <c r="BQ139" s="240"/>
    </row>
    <row r="140" spans="2:69" x14ac:dyDescent="0.2">
      <c r="B140" s="72">
        <f t="shared" si="103"/>
        <v>1</v>
      </c>
      <c r="C140" s="72">
        <f t="shared" si="98"/>
        <v>10</v>
      </c>
      <c r="D140" s="72" t="str">
        <f t="shared" si="104"/>
        <v>Portland</v>
      </c>
      <c r="F140" s="73">
        <v>2006</v>
      </c>
      <c r="G140" s="374">
        <v>778.7</v>
      </c>
      <c r="H140" s="374"/>
      <c r="I140" s="374"/>
      <c r="J140" s="75">
        <f t="shared" si="100"/>
        <v>0.52856593327012058</v>
      </c>
      <c r="K140" s="127"/>
      <c r="L140" s="127"/>
      <c r="M140" s="127"/>
      <c r="N140" s="127"/>
      <c r="O140" s="373">
        <v>15167.358779999999</v>
      </c>
      <c r="P140" s="75">
        <f>O140/$O$218</f>
        <v>2.2827533322391749E-2</v>
      </c>
      <c r="Q140" s="75"/>
      <c r="R140" s="374">
        <v>3605566</v>
      </c>
      <c r="S140" s="374"/>
      <c r="T140" s="493">
        <v>2001752</v>
      </c>
      <c r="U140" s="427">
        <f t="shared" si="61"/>
        <v>1603814</v>
      </c>
      <c r="V140" s="112">
        <f t="shared" si="62"/>
        <v>0.44481615369126509</v>
      </c>
      <c r="W140" s="373">
        <v>160023.52333953901</v>
      </c>
      <c r="X140" s="127">
        <f t="shared" si="101"/>
        <v>144856.164559539</v>
      </c>
      <c r="Y140" s="75">
        <f t="shared" si="105"/>
        <v>0.90521794256574517</v>
      </c>
      <c r="Z140" s="75">
        <f t="shared" si="106"/>
        <v>9.4782057434254829E-2</v>
      </c>
      <c r="AA140" s="125">
        <f t="shared" si="102"/>
        <v>0</v>
      </c>
      <c r="AB140" s="125">
        <f t="shared" si="107"/>
        <v>9.4782057434254829E-2</v>
      </c>
      <c r="AC140" s="125">
        <f t="shared" si="107"/>
        <v>-9.4782057434254829E-2</v>
      </c>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row>
    <row r="141" spans="2:69" x14ac:dyDescent="0.2">
      <c r="B141" s="72">
        <f t="shared" si="103"/>
        <v>1</v>
      </c>
      <c r="C141" s="72">
        <f t="shared" si="98"/>
        <v>10</v>
      </c>
      <c r="D141" s="72" t="str">
        <f t="shared" si="104"/>
        <v>Portland</v>
      </c>
      <c r="F141" s="73">
        <v>2007</v>
      </c>
      <c r="G141" s="374">
        <v>778.7</v>
      </c>
      <c r="H141" s="374"/>
      <c r="I141" s="374"/>
      <c r="J141" s="75">
        <f t="shared" si="100"/>
        <v>0.46666760488884118</v>
      </c>
      <c r="K141" s="127"/>
      <c r="L141" s="127"/>
      <c r="M141" s="127"/>
      <c r="N141" s="127"/>
      <c r="O141" s="373">
        <v>19610.313120000003</v>
      </c>
      <c r="P141" s="75">
        <f>O141/$O$219</f>
        <v>2.7188485911875202E-2</v>
      </c>
      <c r="Q141" s="75"/>
      <c r="R141" s="374">
        <v>3183332</v>
      </c>
      <c r="S141" s="374"/>
      <c r="T141" s="493">
        <v>1802042</v>
      </c>
      <c r="U141" s="427">
        <f t="shared" si="61"/>
        <v>1381290</v>
      </c>
      <c r="V141" s="112">
        <f t="shared" si="62"/>
        <v>0.43391327074901392</v>
      </c>
      <c r="W141" s="373">
        <v>162413.81548090503</v>
      </c>
      <c r="X141" s="127">
        <f t="shared" si="101"/>
        <v>142803.50236090503</v>
      </c>
      <c r="Y141" s="75">
        <f t="shared" si="105"/>
        <v>0.87925711207550816</v>
      </c>
      <c r="Z141" s="75">
        <f t="shared" si="106"/>
        <v>0.12074288792449184</v>
      </c>
      <c r="AA141" s="125">
        <f t="shared" si="102"/>
        <v>0</v>
      </c>
      <c r="AB141" s="125">
        <f t="shared" si="107"/>
        <v>0.12074288792449184</v>
      </c>
      <c r="AC141" s="125">
        <f t="shared" si="107"/>
        <v>-0.12074288792449184</v>
      </c>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0"/>
      <c r="BK141" s="240"/>
      <c r="BL141" s="240"/>
      <c r="BM141" s="240"/>
      <c r="BN141" s="240"/>
      <c r="BO141" s="240"/>
      <c r="BP141" s="240"/>
      <c r="BQ141" s="240"/>
    </row>
    <row r="142" spans="2:69" x14ac:dyDescent="0.2">
      <c r="B142" s="72">
        <f t="shared" si="103"/>
        <v>1</v>
      </c>
      <c r="C142" s="72">
        <f t="shared" si="98"/>
        <v>10</v>
      </c>
      <c r="D142" s="72" t="str">
        <f t="shared" si="104"/>
        <v>Portland</v>
      </c>
      <c r="F142" s="73">
        <v>2008</v>
      </c>
      <c r="G142" s="374">
        <v>778.7</v>
      </c>
      <c r="H142" s="374"/>
      <c r="I142" s="374"/>
      <c r="J142" s="75">
        <f t="shared" si="100"/>
        <v>0.46941674245742671</v>
      </c>
      <c r="K142" s="127"/>
      <c r="L142" s="127"/>
      <c r="M142" s="127"/>
      <c r="N142" s="127"/>
      <c r="O142" s="373">
        <v>21110.4408</v>
      </c>
      <c r="P142" s="75">
        <f>O142/$O$220</f>
        <v>2.7007608094740936E-2</v>
      </c>
      <c r="Q142" s="75"/>
      <c r="R142" s="374">
        <v>3202085</v>
      </c>
      <c r="S142" s="374"/>
      <c r="T142" s="493">
        <v>1822107</v>
      </c>
      <c r="U142" s="427">
        <f t="shared" si="61"/>
        <v>1379978</v>
      </c>
      <c r="V142" s="112">
        <f t="shared" si="62"/>
        <v>0.43096232610939433</v>
      </c>
      <c r="W142" s="373">
        <v>194469.50409167795</v>
      </c>
      <c r="X142" s="127">
        <f t="shared" si="101"/>
        <v>173359.06329167794</v>
      </c>
      <c r="Y142" s="75">
        <f t="shared" si="105"/>
        <v>0.8914460089842775</v>
      </c>
      <c r="Z142" s="75">
        <f t="shared" si="106"/>
        <v>0.1085539910157225</v>
      </c>
      <c r="AA142" s="125">
        <f t="shared" si="102"/>
        <v>0</v>
      </c>
      <c r="AB142" s="125">
        <f t="shared" si="107"/>
        <v>0.1085539910157225</v>
      </c>
      <c r="AC142" s="125">
        <f t="shared" si="107"/>
        <v>-0.1085539910157225</v>
      </c>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row>
    <row r="143" spans="2:69" x14ac:dyDescent="0.2">
      <c r="B143" s="72">
        <f t="shared" si="103"/>
        <v>1</v>
      </c>
      <c r="C143" s="72">
        <f t="shared" si="98"/>
        <v>10</v>
      </c>
      <c r="D143" s="72" t="str">
        <f t="shared" si="104"/>
        <v>Portland</v>
      </c>
      <c r="F143" s="73">
        <v>2009</v>
      </c>
      <c r="G143" s="374">
        <v>757.7</v>
      </c>
      <c r="H143" s="374"/>
      <c r="I143" s="374"/>
      <c r="J143" s="75">
        <f t="shared" si="100"/>
        <v>0.48083903280957813</v>
      </c>
      <c r="K143" s="127"/>
      <c r="L143" s="127"/>
      <c r="M143" s="127"/>
      <c r="N143" s="127"/>
      <c r="O143" s="373">
        <v>25499.377230000002</v>
      </c>
      <c r="P143" s="75">
        <f>O143/$O$221</f>
        <v>3.2617353417244269E-2</v>
      </c>
      <c r="Q143" s="75"/>
      <c r="R143" s="374">
        <v>3191546</v>
      </c>
      <c r="S143" s="374"/>
      <c r="T143" s="493">
        <v>1800401</v>
      </c>
      <c r="U143" s="427">
        <f t="shared" si="61"/>
        <v>1391145</v>
      </c>
      <c r="V143" s="112">
        <f t="shared" si="62"/>
        <v>0.43588436450547791</v>
      </c>
      <c r="W143" s="373">
        <v>99840.738754286678</v>
      </c>
      <c r="X143" s="127">
        <f t="shared" si="101"/>
        <v>74341.36152428668</v>
      </c>
      <c r="Y143" s="75">
        <f t="shared" si="105"/>
        <v>0.74459947364016099</v>
      </c>
      <c r="Z143" s="75">
        <f t="shared" si="106"/>
        <v>0.25540052635983901</v>
      </c>
      <c r="AA143" s="125">
        <f t="shared" si="102"/>
        <v>0</v>
      </c>
      <c r="AB143" s="125">
        <f t="shared" si="107"/>
        <v>0.25540052635983901</v>
      </c>
      <c r="AC143" s="125">
        <f t="shared" si="107"/>
        <v>-0.25540052635983901</v>
      </c>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row>
    <row r="144" spans="2:69" x14ac:dyDescent="0.2">
      <c r="B144" s="72">
        <f t="shared" si="103"/>
        <v>1</v>
      </c>
      <c r="C144" s="72">
        <f t="shared" si="98"/>
        <v>10</v>
      </c>
      <c r="D144" s="72" t="str">
        <f t="shared" si="104"/>
        <v>Portland</v>
      </c>
      <c r="F144" s="73">
        <v>2010</v>
      </c>
      <c r="G144" s="374">
        <v>757.7</v>
      </c>
      <c r="H144" s="374"/>
      <c r="I144" s="374"/>
      <c r="J144" s="75">
        <f t="shared" si="100"/>
        <v>0.4903652787244262</v>
      </c>
      <c r="K144" s="127"/>
      <c r="L144" s="127"/>
      <c r="M144" s="127"/>
      <c r="N144" s="127"/>
      <c r="O144" s="373">
        <v>21662.864549999998</v>
      </c>
      <c r="P144" s="75">
        <f>O144/$O$222</f>
        <v>2.577821244837137E-2</v>
      </c>
      <c r="Q144" s="75"/>
      <c r="R144" s="374">
        <v>3254776</v>
      </c>
      <c r="S144" s="374"/>
      <c r="T144" s="493">
        <v>1829898</v>
      </c>
      <c r="U144" s="427">
        <f t="shared" si="61"/>
        <v>1424878</v>
      </c>
      <c r="V144" s="112">
        <f t="shared" si="62"/>
        <v>0.43778066447583491</v>
      </c>
      <c r="W144" s="373">
        <v>103973.05561198339</v>
      </c>
      <c r="X144" s="127">
        <f t="shared" si="101"/>
        <v>82310.191061983394</v>
      </c>
      <c r="Y144" s="75">
        <f t="shared" si="105"/>
        <v>0.79164924583111651</v>
      </c>
      <c r="Z144" s="75">
        <f t="shared" si="106"/>
        <v>0.20835075416888349</v>
      </c>
      <c r="AA144" s="125">
        <f t="shared" si="102"/>
        <v>0</v>
      </c>
      <c r="AB144" s="125">
        <f t="shared" si="107"/>
        <v>0.20835075416888349</v>
      </c>
      <c r="AC144" s="125">
        <f t="shared" si="107"/>
        <v>-0.20835075416888349</v>
      </c>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row>
    <row r="145" spans="2:69" x14ac:dyDescent="0.2">
      <c r="B145" s="72">
        <f t="shared" si="103"/>
        <v>1</v>
      </c>
      <c r="C145" s="72">
        <f t="shared" si="98"/>
        <v>10</v>
      </c>
      <c r="D145" s="72" t="str">
        <f t="shared" si="104"/>
        <v>Portland</v>
      </c>
      <c r="F145" s="73">
        <v>2011</v>
      </c>
      <c r="G145" s="374">
        <v>757.7</v>
      </c>
      <c r="H145" s="374"/>
      <c r="I145" s="374"/>
      <c r="J145" s="75">
        <f t="shared" si="100"/>
        <v>0.53057362976033573</v>
      </c>
      <c r="K145" s="127"/>
      <c r="L145" s="127"/>
      <c r="M145" s="127"/>
      <c r="N145" s="127"/>
      <c r="O145" s="373">
        <v>22382.795849999999</v>
      </c>
      <c r="P145" s="75">
        <f>O145/$O$223</f>
        <v>2.7503550883258485E-2</v>
      </c>
      <c r="Q145" s="75"/>
      <c r="R145" s="374">
        <v>3521657</v>
      </c>
      <c r="S145" s="374"/>
      <c r="T145" s="493">
        <v>1932996</v>
      </c>
      <c r="U145" s="427">
        <f t="shared" si="61"/>
        <v>1588661</v>
      </c>
      <c r="V145" s="112">
        <f t="shared" si="62"/>
        <v>0.4511117919774697</v>
      </c>
      <c r="W145" s="373">
        <v>90326.765533280806</v>
      </c>
      <c r="X145" s="127">
        <f t="shared" si="101"/>
        <v>67943.969683280811</v>
      </c>
      <c r="Y145" s="75">
        <f t="shared" si="105"/>
        <v>0.75220195566780179</v>
      </c>
      <c r="Z145" s="75">
        <f t="shared" si="106"/>
        <v>0.24779804433219821</v>
      </c>
      <c r="AA145" s="125">
        <f t="shared" si="102"/>
        <v>0</v>
      </c>
      <c r="AB145" s="125">
        <f t="shared" si="107"/>
        <v>0.24779804433219821</v>
      </c>
      <c r="AC145" s="125">
        <f t="shared" si="107"/>
        <v>-0.24779804433219821</v>
      </c>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c r="BI145" s="240"/>
      <c r="BJ145" s="240"/>
      <c r="BK145" s="240"/>
      <c r="BL145" s="240"/>
      <c r="BM145" s="240"/>
      <c r="BN145" s="240"/>
      <c r="BO145" s="240"/>
      <c r="BP145" s="240"/>
      <c r="BQ145" s="240"/>
    </row>
    <row r="146" spans="2:69" x14ac:dyDescent="0.2">
      <c r="B146" s="72">
        <f t="shared" si="103"/>
        <v>1</v>
      </c>
      <c r="C146" s="72">
        <f t="shared" si="98"/>
        <v>10</v>
      </c>
      <c r="D146" s="72" t="str">
        <f t="shared" si="104"/>
        <v>Portland</v>
      </c>
      <c r="F146" s="73">
        <v>2012</v>
      </c>
      <c r="G146" s="374">
        <v>807.9</v>
      </c>
      <c r="H146" s="374"/>
      <c r="I146" s="374"/>
      <c r="J146" s="75">
        <f t="shared" si="100"/>
        <v>0.48919262465798641</v>
      </c>
      <c r="K146" s="127"/>
      <c r="L146" s="127"/>
      <c r="M146" s="127"/>
      <c r="N146" s="127"/>
      <c r="O146" s="373">
        <v>25819.268250000001</v>
      </c>
      <c r="P146" s="75">
        <f>O146/$O$224</f>
        <v>3.1292420388399758E-2</v>
      </c>
      <c r="Q146" s="75"/>
      <c r="R146" s="374">
        <v>3462116</v>
      </c>
      <c r="S146" s="374"/>
      <c r="T146" s="493">
        <v>1942761</v>
      </c>
      <c r="U146" s="427">
        <f t="shared" si="61"/>
        <v>1519355</v>
      </c>
      <c r="V146" s="112">
        <f t="shared" si="62"/>
        <v>0.4388515578334175</v>
      </c>
      <c r="W146" s="373">
        <v>71956.441036082018</v>
      </c>
      <c r="X146" s="127">
        <f t="shared" si="101"/>
        <v>46137.172786082017</v>
      </c>
      <c r="Y146" s="75">
        <f t="shared" si="105"/>
        <v>0.64118197234000052</v>
      </c>
      <c r="Z146" s="75">
        <f t="shared" si="106"/>
        <v>0.35881802765999948</v>
      </c>
      <c r="AA146" s="125">
        <f t="shared" si="102"/>
        <v>0</v>
      </c>
      <c r="AB146" s="125">
        <f t="shared" si="107"/>
        <v>0.35881802765999948</v>
      </c>
      <c r="AC146" s="125">
        <f t="shared" si="107"/>
        <v>-0.35881802765999948</v>
      </c>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240"/>
      <c r="BJ146" s="240"/>
      <c r="BK146" s="240"/>
      <c r="BL146" s="240"/>
      <c r="BM146" s="240"/>
      <c r="BN146" s="240"/>
      <c r="BO146" s="240"/>
      <c r="BP146" s="240"/>
      <c r="BQ146" s="240"/>
    </row>
    <row r="147" spans="2:69" x14ac:dyDescent="0.2">
      <c r="B147" s="72">
        <f t="shared" si="103"/>
        <v>1</v>
      </c>
      <c r="C147" s="72">
        <f t="shared" si="98"/>
        <v>10</v>
      </c>
      <c r="D147" s="72" t="str">
        <f t="shared" si="104"/>
        <v>Portland</v>
      </c>
      <c r="F147" s="73">
        <v>2013</v>
      </c>
      <c r="G147" s="374">
        <v>807.9</v>
      </c>
      <c r="H147" s="374"/>
      <c r="I147" s="374"/>
      <c r="J147" s="75">
        <f t="shared" si="100"/>
        <v>0.42414490242191688</v>
      </c>
      <c r="K147" s="127"/>
      <c r="L147" s="127"/>
      <c r="M147" s="127"/>
      <c r="N147" s="127"/>
      <c r="O147" s="373">
        <v>26947.084770000001</v>
      </c>
      <c r="P147" s="75">
        <f>O147/$O$225</f>
        <v>3.2005860663112541E-2</v>
      </c>
      <c r="Q147" s="72"/>
      <c r="R147" s="374">
        <v>3001760</v>
      </c>
      <c r="S147" s="374"/>
      <c r="T147" s="493">
        <v>1646105</v>
      </c>
      <c r="U147" s="427">
        <f t="shared" si="61"/>
        <v>1355655</v>
      </c>
      <c r="V147" s="112">
        <f t="shared" si="62"/>
        <v>0.45162004957091839</v>
      </c>
      <c r="W147" s="373">
        <v>97629.862911950608</v>
      </c>
      <c r="X147" s="127">
        <f>W147-O147</f>
        <v>70682.778141950606</v>
      </c>
      <c r="Y147" s="75">
        <f>X147/W147</f>
        <v>0.72398727227239112</v>
      </c>
      <c r="Z147" s="75">
        <f>1-Y147</f>
        <v>0.27601272772760888</v>
      </c>
      <c r="AA147" s="125">
        <f>Z147*Q147</f>
        <v>0</v>
      </c>
      <c r="AB147" s="125">
        <f t="shared" ref="AB147:AC149" si="108">Z147-AA147</f>
        <v>0.27601272772760888</v>
      </c>
      <c r="AC147" s="125">
        <f t="shared" si="108"/>
        <v>-0.27601272772760888</v>
      </c>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c r="BI147" s="240"/>
      <c r="BJ147" s="240"/>
      <c r="BK147" s="240"/>
      <c r="BL147" s="240"/>
      <c r="BM147" s="240"/>
      <c r="BN147" s="240"/>
      <c r="BO147" s="240"/>
      <c r="BP147" s="240"/>
      <c r="BQ147" s="240"/>
    </row>
    <row r="148" spans="2:69" x14ac:dyDescent="0.2">
      <c r="B148" s="72">
        <f t="shared" si="103"/>
        <v>1</v>
      </c>
      <c r="C148" s="72">
        <f t="shared" si="98"/>
        <v>10</v>
      </c>
      <c r="D148" s="72" t="str">
        <f t="shared" si="104"/>
        <v>Portland</v>
      </c>
      <c r="F148" s="73">
        <v>2014</v>
      </c>
      <c r="G148" s="374">
        <v>889.1</v>
      </c>
      <c r="H148" s="374"/>
      <c r="I148" s="374"/>
      <c r="J148" s="75">
        <f t="shared" si="100"/>
        <v>0.4064561207809036</v>
      </c>
      <c r="K148" s="127"/>
      <c r="L148" s="127"/>
      <c r="M148" s="127"/>
      <c r="N148" s="127"/>
      <c r="O148" s="373">
        <v>31102.552439999999</v>
      </c>
      <c r="P148" s="75">
        <f>O148/$O$226</f>
        <v>3.5942716973408152E-2</v>
      </c>
      <c r="Q148" s="72"/>
      <c r="R148" s="374">
        <v>3165690</v>
      </c>
      <c r="S148" s="374"/>
      <c r="T148" s="493">
        <v>1750572</v>
      </c>
      <c r="U148" s="427">
        <f t="shared" ref="U148:U187" si="109">R148-T148</f>
        <v>1415118</v>
      </c>
      <c r="V148" s="112">
        <f t="shared" ref="V148:V187" si="110">U148/R148</f>
        <v>0.44701723794812503</v>
      </c>
      <c r="W148" s="373">
        <v>112545.88334186323</v>
      </c>
      <c r="X148" s="127">
        <f>W148-O148</f>
        <v>81443.330901863228</v>
      </c>
      <c r="Y148" s="75">
        <f>X148/W148</f>
        <v>0.72364557888337344</v>
      </c>
      <c r="Z148" s="75">
        <f>1-Y148</f>
        <v>0.27635442111662656</v>
      </c>
      <c r="AA148" s="125">
        <f>Z148*Q148</f>
        <v>0</v>
      </c>
      <c r="AB148" s="125">
        <f t="shared" si="108"/>
        <v>0.27635442111662656</v>
      </c>
      <c r="AC148" s="125">
        <f t="shared" si="108"/>
        <v>-0.27635442111662656</v>
      </c>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row>
    <row r="149" spans="2:69" x14ac:dyDescent="0.2">
      <c r="B149" s="69">
        <f>'OPG hydro peers'!B15</f>
        <v>1</v>
      </c>
      <c r="C149" s="69">
        <f t="shared" si="98"/>
        <v>11</v>
      </c>
      <c r="D149" s="69" t="str">
        <f>'OPG hydro peers'!D15</f>
        <v>Ameren MI - Union</v>
      </c>
      <c r="F149" s="70">
        <v>2002</v>
      </c>
      <c r="G149" s="372">
        <v>740.8</v>
      </c>
      <c r="H149" s="372"/>
      <c r="I149" s="372"/>
      <c r="J149" s="76">
        <f t="shared" ref="J149:J161" si="111">R149/(G149*8760)</f>
        <v>0.27237137809797135</v>
      </c>
      <c r="K149" s="71"/>
      <c r="L149" s="71"/>
      <c r="M149" s="71"/>
      <c r="N149" s="71"/>
      <c r="O149" s="372">
        <v>13567.439969999999</v>
      </c>
      <c r="P149" s="76">
        <f>O149/$O$214</f>
        <v>2.6222571734319557E-2</v>
      </c>
      <c r="Q149" s="76"/>
      <c r="R149" s="372">
        <v>1767529</v>
      </c>
      <c r="S149" s="372"/>
      <c r="T149" s="372">
        <v>1767529</v>
      </c>
      <c r="U149" s="427">
        <f t="shared" si="109"/>
        <v>0</v>
      </c>
      <c r="V149" s="112">
        <f t="shared" si="110"/>
        <v>0</v>
      </c>
      <c r="W149" s="372">
        <v>31595.232993086043</v>
      </c>
      <c r="X149" s="71">
        <f t="shared" ref="X149:X159" si="112">W149-O149</f>
        <v>18027.793023086044</v>
      </c>
      <c r="Y149" s="76">
        <f>X149/W149</f>
        <v>0.57058585474052526</v>
      </c>
      <c r="Z149" s="76">
        <f>1-Y149</f>
        <v>0.42941414525947474</v>
      </c>
      <c r="AA149" s="126">
        <f t="shared" ref="AA149:AA159" si="113">Z149*Q149</f>
        <v>0</v>
      </c>
      <c r="AB149" s="126">
        <f t="shared" si="108"/>
        <v>0.42941414525947474</v>
      </c>
      <c r="AC149" s="126">
        <f t="shared" si="108"/>
        <v>-0.42941414525947474</v>
      </c>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row>
    <row r="150" spans="2:69" x14ac:dyDescent="0.2">
      <c r="B150" s="69">
        <f t="shared" ref="B150:B161" si="114">B149</f>
        <v>1</v>
      </c>
      <c r="C150" s="69">
        <f t="shared" si="98"/>
        <v>11</v>
      </c>
      <c r="D150" s="69" t="str">
        <f t="shared" ref="D150:D157" si="115">D149</f>
        <v>Ameren MI - Union</v>
      </c>
      <c r="F150" s="70">
        <v>2003</v>
      </c>
      <c r="G150" s="372">
        <v>740.8</v>
      </c>
      <c r="H150" s="372"/>
      <c r="I150" s="372"/>
      <c r="J150" s="76">
        <f t="shared" si="111"/>
        <v>0.22520405559336076</v>
      </c>
      <c r="K150" s="71"/>
      <c r="L150" s="71"/>
      <c r="M150" s="71"/>
      <c r="N150" s="71"/>
      <c r="O150" s="372">
        <v>10767.12111</v>
      </c>
      <c r="P150" s="76">
        <f>O150/$O$215</f>
        <v>1.9198115653984073E-2</v>
      </c>
      <c r="Q150" s="76"/>
      <c r="R150" s="372">
        <v>1461441</v>
      </c>
      <c r="S150" s="372"/>
      <c r="T150" s="372">
        <v>1461441</v>
      </c>
      <c r="U150" s="427">
        <f t="shared" si="109"/>
        <v>0</v>
      </c>
      <c r="V150" s="112">
        <f t="shared" si="110"/>
        <v>0</v>
      </c>
      <c r="W150" s="372">
        <v>29302.312665790661</v>
      </c>
      <c r="X150" s="71">
        <f t="shared" si="112"/>
        <v>18535.191555790661</v>
      </c>
      <c r="Y150" s="76">
        <f t="shared" ref="Y150:Y159" si="116">X150/W150</f>
        <v>0.6325504668247498</v>
      </c>
      <c r="Z150" s="76">
        <f t="shared" ref="Z150:Z159" si="117">1-Y150</f>
        <v>0.3674495331752502</v>
      </c>
      <c r="AA150" s="126">
        <f t="shared" si="113"/>
        <v>0</v>
      </c>
      <c r="AB150" s="126">
        <f t="shared" ref="AB150:AC159" si="118">Z150-AA150</f>
        <v>0.3674495331752502</v>
      </c>
      <c r="AC150" s="126">
        <f t="shared" si="118"/>
        <v>-0.3674495331752502</v>
      </c>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row>
    <row r="151" spans="2:69" x14ac:dyDescent="0.2">
      <c r="B151" s="69">
        <f t="shared" si="114"/>
        <v>1</v>
      </c>
      <c r="C151" s="69">
        <f t="shared" si="98"/>
        <v>11</v>
      </c>
      <c r="D151" s="69" t="str">
        <f t="shared" si="115"/>
        <v>Ameren MI - Union</v>
      </c>
      <c r="F151" s="70">
        <v>2004</v>
      </c>
      <c r="G151" s="372">
        <v>740.8</v>
      </c>
      <c r="H151" s="372"/>
      <c r="I151" s="372"/>
      <c r="J151" s="76">
        <f t="shared" si="111"/>
        <v>0.32177465186346738</v>
      </c>
      <c r="K151" s="71"/>
      <c r="L151" s="71"/>
      <c r="M151" s="71"/>
      <c r="N151" s="71"/>
      <c r="O151" s="372">
        <v>13207.742459999999</v>
      </c>
      <c r="P151" s="76">
        <f>O151/$O$216</f>
        <v>2.1987892403682242E-2</v>
      </c>
      <c r="Q151" s="76"/>
      <c r="R151" s="372">
        <v>2088127</v>
      </c>
      <c r="S151" s="372"/>
      <c r="T151" s="372">
        <v>2088127</v>
      </c>
      <c r="U151" s="427">
        <f t="shared" si="109"/>
        <v>0</v>
      </c>
      <c r="V151" s="112">
        <f t="shared" si="110"/>
        <v>0</v>
      </c>
      <c r="W151" s="372">
        <v>58979.179650416743</v>
      </c>
      <c r="X151" s="71">
        <f t="shared" si="112"/>
        <v>45771.437190416742</v>
      </c>
      <c r="Y151" s="76">
        <f t="shared" si="116"/>
        <v>0.77606093305662527</v>
      </c>
      <c r="Z151" s="76">
        <f t="shared" si="117"/>
        <v>0.22393906694337473</v>
      </c>
      <c r="AA151" s="126">
        <f t="shared" si="113"/>
        <v>0</v>
      </c>
      <c r="AB151" s="126">
        <f t="shared" si="118"/>
        <v>0.22393906694337473</v>
      </c>
      <c r="AC151" s="126">
        <f t="shared" si="118"/>
        <v>-0.22393906694337473</v>
      </c>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row>
    <row r="152" spans="2:69" x14ac:dyDescent="0.2">
      <c r="B152" s="69">
        <f t="shared" si="114"/>
        <v>1</v>
      </c>
      <c r="C152" s="69">
        <f t="shared" si="98"/>
        <v>11</v>
      </c>
      <c r="D152" s="69" t="str">
        <f t="shared" si="115"/>
        <v>Ameren MI - Union</v>
      </c>
      <c r="F152" s="70">
        <v>2005</v>
      </c>
      <c r="G152" s="372">
        <v>740.8</v>
      </c>
      <c r="H152" s="372"/>
      <c r="I152" s="372"/>
      <c r="J152" s="76">
        <f t="shared" si="111"/>
        <v>0.31799988535163765</v>
      </c>
      <c r="K152" s="71"/>
      <c r="L152" s="71"/>
      <c r="M152" s="71"/>
      <c r="N152" s="71"/>
      <c r="O152" s="372">
        <v>10942.25712</v>
      </c>
      <c r="P152" s="76">
        <f>O152/$O$217</f>
        <v>1.7516499793413867E-2</v>
      </c>
      <c r="Q152" s="76"/>
      <c r="R152" s="372">
        <v>2063631</v>
      </c>
      <c r="S152" s="372"/>
      <c r="T152" s="372">
        <v>1956646</v>
      </c>
      <c r="U152" s="427">
        <f t="shared" si="109"/>
        <v>106985</v>
      </c>
      <c r="V152" s="112">
        <f t="shared" si="110"/>
        <v>5.1843086288197844E-2</v>
      </c>
      <c r="W152" s="372">
        <v>80159.309951755553</v>
      </c>
      <c r="X152" s="71">
        <f t="shared" si="112"/>
        <v>69217.052831755558</v>
      </c>
      <c r="Y152" s="76">
        <f t="shared" si="116"/>
        <v>0.86349362130754781</v>
      </c>
      <c r="Z152" s="76">
        <f t="shared" si="117"/>
        <v>0.13650637869245219</v>
      </c>
      <c r="AA152" s="126">
        <f t="shared" si="113"/>
        <v>0</v>
      </c>
      <c r="AB152" s="126">
        <f t="shared" si="118"/>
        <v>0.13650637869245219</v>
      </c>
      <c r="AC152" s="126">
        <f t="shared" si="118"/>
        <v>-0.13650637869245219</v>
      </c>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c r="BI152" s="240"/>
      <c r="BJ152" s="240"/>
      <c r="BK152" s="240"/>
      <c r="BL152" s="240"/>
      <c r="BM152" s="240"/>
      <c r="BN152" s="240"/>
      <c r="BO152" s="240"/>
      <c r="BP152" s="240"/>
      <c r="BQ152" s="240"/>
    </row>
    <row r="153" spans="2:69" x14ac:dyDescent="0.2">
      <c r="B153" s="69">
        <f t="shared" si="114"/>
        <v>1</v>
      </c>
      <c r="C153" s="69">
        <f t="shared" si="98"/>
        <v>11</v>
      </c>
      <c r="D153" s="69" t="str">
        <f t="shared" si="115"/>
        <v>Ameren MI - Union</v>
      </c>
      <c r="F153" s="70">
        <v>2006</v>
      </c>
      <c r="G153" s="372">
        <v>740.8</v>
      </c>
      <c r="H153" s="372"/>
      <c r="I153" s="372"/>
      <c r="J153" s="76">
        <f t="shared" si="111"/>
        <v>0.14724964126157578</v>
      </c>
      <c r="K153" s="71"/>
      <c r="L153" s="71"/>
      <c r="M153" s="71"/>
      <c r="N153" s="71"/>
      <c r="O153" s="372">
        <v>11099.22357</v>
      </c>
      <c r="P153" s="76">
        <f>O153/$O$218</f>
        <v>1.6704813248760702E-2</v>
      </c>
      <c r="Q153" s="76"/>
      <c r="R153" s="372">
        <v>955563</v>
      </c>
      <c r="S153" s="372"/>
      <c r="T153" s="372">
        <v>955563</v>
      </c>
      <c r="U153" s="427">
        <f t="shared" si="109"/>
        <v>0</v>
      </c>
      <c r="V153" s="112">
        <f t="shared" si="110"/>
        <v>0</v>
      </c>
      <c r="W153" s="372">
        <v>49249.163017113191</v>
      </c>
      <c r="X153" s="71">
        <f t="shared" si="112"/>
        <v>38149.939447113189</v>
      </c>
      <c r="Y153" s="76">
        <f t="shared" si="116"/>
        <v>0.77463122436937204</v>
      </c>
      <c r="Z153" s="76">
        <f t="shared" si="117"/>
        <v>0.22536877563062796</v>
      </c>
      <c r="AA153" s="126">
        <f t="shared" si="113"/>
        <v>0</v>
      </c>
      <c r="AB153" s="126">
        <f t="shared" si="118"/>
        <v>0.22536877563062796</v>
      </c>
      <c r="AC153" s="126">
        <f t="shared" si="118"/>
        <v>-0.22536877563062796</v>
      </c>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c r="BI153" s="240"/>
      <c r="BJ153" s="240"/>
      <c r="BK153" s="240"/>
      <c r="BL153" s="240"/>
      <c r="BM153" s="240"/>
      <c r="BN153" s="240"/>
      <c r="BO153" s="240"/>
      <c r="BP153" s="240"/>
      <c r="BQ153" s="240"/>
    </row>
    <row r="154" spans="2:69" x14ac:dyDescent="0.2">
      <c r="B154" s="69">
        <f t="shared" si="114"/>
        <v>1</v>
      </c>
      <c r="C154" s="69">
        <f t="shared" si="98"/>
        <v>11</v>
      </c>
      <c r="D154" s="69" t="str">
        <f t="shared" si="115"/>
        <v>Ameren MI - Union</v>
      </c>
      <c r="F154" s="70">
        <v>2007</v>
      </c>
      <c r="G154" s="372">
        <v>740.8</v>
      </c>
      <c r="H154" s="372"/>
      <c r="I154" s="372"/>
      <c r="J154" s="76">
        <f t="shared" si="111"/>
        <v>0.24530743020010454</v>
      </c>
      <c r="K154" s="71"/>
      <c r="L154" s="71"/>
      <c r="M154" s="71"/>
      <c r="N154" s="71"/>
      <c r="O154" s="372">
        <v>14224.347299999999</v>
      </c>
      <c r="P154" s="76">
        <f>O154/$O$219</f>
        <v>1.9721177515378194E-2</v>
      </c>
      <c r="Q154" s="76"/>
      <c r="R154" s="372">
        <v>1591900</v>
      </c>
      <c r="S154" s="372"/>
      <c r="T154" s="372">
        <v>1591899</v>
      </c>
      <c r="U154" s="427">
        <f t="shared" si="109"/>
        <v>1</v>
      </c>
      <c r="V154" s="112">
        <f t="shared" si="110"/>
        <v>6.2818016207048183E-7</v>
      </c>
      <c r="W154" s="372">
        <v>92039.970250962069</v>
      </c>
      <c r="X154" s="71">
        <f t="shared" si="112"/>
        <v>77815.622950962075</v>
      </c>
      <c r="Y154" s="76">
        <f t="shared" si="116"/>
        <v>0.84545467299462418</v>
      </c>
      <c r="Z154" s="76">
        <f t="shared" si="117"/>
        <v>0.15454532700537582</v>
      </c>
      <c r="AA154" s="126">
        <f t="shared" si="113"/>
        <v>0</v>
      </c>
      <c r="AB154" s="126">
        <f t="shared" si="118"/>
        <v>0.15454532700537582</v>
      </c>
      <c r="AC154" s="126">
        <f t="shared" si="118"/>
        <v>-0.15454532700537582</v>
      </c>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row>
    <row r="155" spans="2:69" x14ac:dyDescent="0.2">
      <c r="B155" s="69">
        <f t="shared" si="114"/>
        <v>1</v>
      </c>
      <c r="C155" s="69">
        <f t="shared" si="98"/>
        <v>11</v>
      </c>
      <c r="D155" s="69" t="str">
        <f t="shared" si="115"/>
        <v>Ameren MI - Union</v>
      </c>
      <c r="F155" s="70">
        <v>2008</v>
      </c>
      <c r="G155" s="372">
        <v>740.8</v>
      </c>
      <c r="H155" s="372"/>
      <c r="I155" s="372"/>
      <c r="J155" s="76">
        <f t="shared" si="111"/>
        <v>0.26940593040228017</v>
      </c>
      <c r="K155" s="71"/>
      <c r="L155" s="71"/>
      <c r="M155" s="71"/>
      <c r="N155" s="71"/>
      <c r="O155" s="372">
        <v>17774.182649999999</v>
      </c>
      <c r="P155" s="76">
        <f>O155/$O$220</f>
        <v>2.2739371658006491E-2</v>
      </c>
      <c r="Q155" s="76"/>
      <c r="R155" s="372">
        <v>1748285</v>
      </c>
      <c r="S155" s="372"/>
      <c r="T155" s="372">
        <v>1748285</v>
      </c>
      <c r="U155" s="427">
        <f t="shared" si="109"/>
        <v>0</v>
      </c>
      <c r="V155" s="112">
        <f t="shared" si="110"/>
        <v>0</v>
      </c>
      <c r="W155" s="372">
        <v>105556.85095165207</v>
      </c>
      <c r="X155" s="71">
        <f t="shared" si="112"/>
        <v>87782.668301652069</v>
      </c>
      <c r="Y155" s="76">
        <f t="shared" si="116"/>
        <v>0.83161507292273185</v>
      </c>
      <c r="Z155" s="76">
        <f t="shared" si="117"/>
        <v>0.16838492707726815</v>
      </c>
      <c r="AA155" s="126">
        <f t="shared" si="113"/>
        <v>0</v>
      </c>
      <c r="AB155" s="126">
        <f t="shared" si="118"/>
        <v>0.16838492707726815</v>
      </c>
      <c r="AC155" s="126">
        <f t="shared" si="118"/>
        <v>-0.16838492707726815</v>
      </c>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c r="BI155" s="240"/>
      <c r="BJ155" s="240"/>
      <c r="BK155" s="240"/>
      <c r="BL155" s="240"/>
      <c r="BM155" s="240"/>
      <c r="BN155" s="240"/>
      <c r="BO155" s="240"/>
      <c r="BP155" s="240"/>
      <c r="BQ155" s="240"/>
    </row>
    <row r="156" spans="2:69" x14ac:dyDescent="0.2">
      <c r="B156" s="69">
        <f t="shared" si="114"/>
        <v>1</v>
      </c>
      <c r="C156" s="69">
        <f t="shared" si="98"/>
        <v>11</v>
      </c>
      <c r="D156" s="69" t="str">
        <f t="shared" si="115"/>
        <v>Ameren MI - Union</v>
      </c>
      <c r="F156" s="70">
        <v>2009</v>
      </c>
      <c r="G156" s="372">
        <v>779.01</v>
      </c>
      <c r="H156" s="372"/>
      <c r="I156" s="372"/>
      <c r="J156" s="76">
        <f t="shared" si="111"/>
        <v>0.27885776930665834</v>
      </c>
      <c r="K156" s="71"/>
      <c r="L156" s="71"/>
      <c r="M156" s="71"/>
      <c r="N156" s="71"/>
      <c r="O156" s="372">
        <v>19717.80528</v>
      </c>
      <c r="P156" s="76">
        <f>O156/$O$221</f>
        <v>2.5221895328232102E-2</v>
      </c>
      <c r="Q156" s="76"/>
      <c r="R156" s="372">
        <v>1902961</v>
      </c>
      <c r="S156" s="372"/>
      <c r="T156" s="372">
        <v>1902961</v>
      </c>
      <c r="U156" s="427">
        <f t="shared" si="109"/>
        <v>0</v>
      </c>
      <c r="V156" s="112">
        <f t="shared" si="110"/>
        <v>0</v>
      </c>
      <c r="W156" s="372">
        <v>57506.740006502856</v>
      </c>
      <c r="X156" s="71">
        <f t="shared" si="112"/>
        <v>37788.934726502855</v>
      </c>
      <c r="Y156" s="76">
        <f t="shared" si="116"/>
        <v>0.65712183862673634</v>
      </c>
      <c r="Z156" s="76">
        <f t="shared" si="117"/>
        <v>0.34287816137326366</v>
      </c>
      <c r="AA156" s="126">
        <f t="shared" si="113"/>
        <v>0</v>
      </c>
      <c r="AB156" s="126">
        <f t="shared" si="118"/>
        <v>0.34287816137326366</v>
      </c>
      <c r="AC156" s="126">
        <f t="shared" si="118"/>
        <v>-0.34287816137326366</v>
      </c>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c r="BI156" s="240"/>
      <c r="BJ156" s="240"/>
      <c r="BK156" s="240"/>
      <c r="BL156" s="240"/>
      <c r="BM156" s="240"/>
      <c r="BN156" s="240"/>
      <c r="BO156" s="240"/>
      <c r="BP156" s="240"/>
      <c r="BQ156" s="240"/>
    </row>
    <row r="157" spans="2:69" x14ac:dyDescent="0.2">
      <c r="B157" s="69">
        <f t="shared" si="114"/>
        <v>1</v>
      </c>
      <c r="C157" s="69">
        <f t="shared" si="98"/>
        <v>11</v>
      </c>
      <c r="D157" s="69" t="str">
        <f t="shared" si="115"/>
        <v>Ameren MI - Union</v>
      </c>
      <c r="F157" s="70">
        <v>2010</v>
      </c>
      <c r="G157" s="372">
        <v>779.01</v>
      </c>
      <c r="H157" s="372"/>
      <c r="I157" s="372"/>
      <c r="J157" s="76">
        <f t="shared" si="111"/>
        <v>0.31541042696798344</v>
      </c>
      <c r="K157" s="71"/>
      <c r="L157" s="71"/>
      <c r="M157" s="71"/>
      <c r="N157" s="71"/>
      <c r="O157" s="372">
        <v>23105.743109999999</v>
      </c>
      <c r="P157" s="76">
        <f>O157/$O$222</f>
        <v>2.749519821315935E-2</v>
      </c>
      <c r="Q157" s="76"/>
      <c r="R157" s="372">
        <v>2152401</v>
      </c>
      <c r="S157" s="372"/>
      <c r="T157" s="372">
        <v>1575481</v>
      </c>
      <c r="U157" s="427">
        <f t="shared" si="109"/>
        <v>576920</v>
      </c>
      <c r="V157" s="112">
        <f t="shared" si="110"/>
        <v>0.26803555657147532</v>
      </c>
      <c r="W157" s="372">
        <v>82083.106805517862</v>
      </c>
      <c r="X157" s="71">
        <f t="shared" si="112"/>
        <v>58977.363695517866</v>
      </c>
      <c r="Y157" s="76">
        <f t="shared" si="116"/>
        <v>0.71850793653869394</v>
      </c>
      <c r="Z157" s="76">
        <f t="shared" si="117"/>
        <v>0.28149206346130606</v>
      </c>
      <c r="AA157" s="126">
        <f t="shared" si="113"/>
        <v>0</v>
      </c>
      <c r="AB157" s="126">
        <f t="shared" si="118"/>
        <v>0.28149206346130606</v>
      </c>
      <c r="AC157" s="126">
        <f t="shared" si="118"/>
        <v>-0.28149206346130606</v>
      </c>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row>
    <row r="158" spans="2:69" x14ac:dyDescent="0.2">
      <c r="B158" s="69">
        <f t="shared" si="114"/>
        <v>1</v>
      </c>
      <c r="C158" s="69">
        <f t="shared" si="98"/>
        <v>11</v>
      </c>
      <c r="D158" s="69" t="str">
        <f>D157</f>
        <v>Ameren MI - Union</v>
      </c>
      <c r="F158" s="70">
        <v>2011</v>
      </c>
      <c r="G158" s="372">
        <v>779.01</v>
      </c>
      <c r="H158" s="372"/>
      <c r="I158" s="372"/>
      <c r="J158" s="76">
        <f t="shared" si="111"/>
        <v>0.25729823692042336</v>
      </c>
      <c r="K158" s="71"/>
      <c r="L158" s="71"/>
      <c r="M158" s="71"/>
      <c r="N158" s="71"/>
      <c r="O158" s="372">
        <v>14684.47431</v>
      </c>
      <c r="P158" s="76">
        <f>O158/$O$223</f>
        <v>1.8044000806940616E-2</v>
      </c>
      <c r="Q158" s="76"/>
      <c r="R158" s="372">
        <v>1755836</v>
      </c>
      <c r="S158" s="372"/>
      <c r="T158" s="372">
        <v>1755836</v>
      </c>
      <c r="U158" s="427">
        <f t="shared" si="109"/>
        <v>0</v>
      </c>
      <c r="V158" s="112">
        <f t="shared" si="110"/>
        <v>0</v>
      </c>
      <c r="W158" s="372">
        <v>47789.510984207715</v>
      </c>
      <c r="X158" s="71">
        <f t="shared" si="112"/>
        <v>33105.036674207717</v>
      </c>
      <c r="Y158" s="76">
        <f t="shared" si="116"/>
        <v>0.69272599765976772</v>
      </c>
      <c r="Z158" s="76">
        <f t="shared" si="117"/>
        <v>0.30727400234023228</v>
      </c>
      <c r="AA158" s="126">
        <f t="shared" si="113"/>
        <v>0</v>
      </c>
      <c r="AB158" s="126">
        <f t="shared" si="118"/>
        <v>0.30727400234023228</v>
      </c>
      <c r="AC158" s="126">
        <f t="shared" si="118"/>
        <v>-0.30727400234023228</v>
      </c>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row>
    <row r="159" spans="2:69" x14ac:dyDescent="0.2">
      <c r="B159" s="69">
        <f t="shared" si="114"/>
        <v>1</v>
      </c>
      <c r="C159" s="69">
        <f t="shared" si="98"/>
        <v>11</v>
      </c>
      <c r="D159" s="69" t="str">
        <f>D158</f>
        <v>Ameren MI - Union</v>
      </c>
      <c r="F159" s="70">
        <v>2012</v>
      </c>
      <c r="G159" s="372">
        <v>779.01</v>
      </c>
      <c r="H159" s="372"/>
      <c r="I159" s="372"/>
      <c r="J159" s="76">
        <f t="shared" si="111"/>
        <v>0.1930369824854975</v>
      </c>
      <c r="K159" s="71"/>
      <c r="L159" s="71"/>
      <c r="M159" s="71"/>
      <c r="N159" s="71"/>
      <c r="O159" s="372">
        <v>14202.07323</v>
      </c>
      <c r="P159" s="76">
        <f>O159/$O$224</f>
        <v>1.7212619722481809E-2</v>
      </c>
      <c r="Q159" s="76"/>
      <c r="R159" s="372">
        <v>1317309</v>
      </c>
      <c r="S159" s="372"/>
      <c r="T159" s="372">
        <v>1317309</v>
      </c>
      <c r="U159" s="427">
        <f t="shared" si="109"/>
        <v>0</v>
      </c>
      <c r="V159" s="112">
        <f t="shared" si="110"/>
        <v>0</v>
      </c>
      <c r="W159" s="372">
        <v>29443.173896585093</v>
      </c>
      <c r="X159" s="71">
        <f t="shared" si="112"/>
        <v>15241.100666585093</v>
      </c>
      <c r="Y159" s="76">
        <f t="shared" si="116"/>
        <v>0.5176446235082286</v>
      </c>
      <c r="Z159" s="76">
        <f t="shared" si="117"/>
        <v>0.4823553764917714</v>
      </c>
      <c r="AA159" s="126">
        <f t="shared" si="113"/>
        <v>0</v>
      </c>
      <c r="AB159" s="126">
        <f t="shared" si="118"/>
        <v>0.4823553764917714</v>
      </c>
      <c r="AC159" s="126">
        <f t="shared" si="118"/>
        <v>-0.4823553764917714</v>
      </c>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row>
    <row r="160" spans="2:69" x14ac:dyDescent="0.2">
      <c r="B160" s="69">
        <f t="shared" si="114"/>
        <v>1</v>
      </c>
      <c r="C160" s="69">
        <f t="shared" si="98"/>
        <v>11</v>
      </c>
      <c r="D160" s="69" t="str">
        <f>D159</f>
        <v>Ameren MI - Union</v>
      </c>
      <c r="F160" s="70">
        <v>2013</v>
      </c>
      <c r="G160" s="372">
        <v>779.01</v>
      </c>
      <c r="H160" s="372"/>
      <c r="I160" s="372"/>
      <c r="J160" s="76">
        <f t="shared" si="111"/>
        <v>0.24429056689971626</v>
      </c>
      <c r="K160" s="69"/>
      <c r="L160" s="69"/>
      <c r="M160" s="69"/>
      <c r="N160" s="69"/>
      <c r="O160" s="372">
        <v>15495.180840000001</v>
      </c>
      <c r="P160" s="76">
        <f>O160/$O$225</f>
        <v>1.8404090948899002E-2</v>
      </c>
      <c r="Q160" s="69"/>
      <c r="R160" s="372">
        <v>1667070</v>
      </c>
      <c r="S160" s="372"/>
      <c r="T160" s="372">
        <v>1667070</v>
      </c>
      <c r="U160" s="427">
        <f t="shared" si="109"/>
        <v>0</v>
      </c>
      <c r="V160" s="112">
        <f t="shared" si="110"/>
        <v>0</v>
      </c>
      <c r="W160" s="372">
        <v>48905.954600372563</v>
      </c>
      <c r="X160" s="71">
        <f>W160-O160</f>
        <v>33410.773760372562</v>
      </c>
      <c r="Y160" s="76">
        <f>X160/W160</f>
        <v>0.6831637176573595</v>
      </c>
      <c r="Z160" s="76">
        <f>1-Y160</f>
        <v>0.3168362823426405</v>
      </c>
      <c r="AA160" s="126">
        <f>Z160*Q160</f>
        <v>0</v>
      </c>
      <c r="AB160" s="126">
        <f t="shared" ref="AB160:AC162" si="119">Z160-AA160</f>
        <v>0.3168362823426405</v>
      </c>
      <c r="AC160" s="126">
        <f t="shared" si="119"/>
        <v>-0.3168362823426405</v>
      </c>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row>
    <row r="161" spans="2:69" x14ac:dyDescent="0.2">
      <c r="B161" s="69">
        <f t="shared" si="114"/>
        <v>1</v>
      </c>
      <c r="C161" s="69">
        <f t="shared" si="98"/>
        <v>11</v>
      </c>
      <c r="D161" s="69" t="str">
        <f>D160</f>
        <v>Ameren MI - Union</v>
      </c>
      <c r="F161" s="70">
        <v>2014</v>
      </c>
      <c r="G161" s="372">
        <v>903.5</v>
      </c>
      <c r="H161" s="372"/>
      <c r="I161" s="372"/>
      <c r="J161" s="76">
        <f t="shared" si="111"/>
        <v>0.18112123578271208</v>
      </c>
      <c r="K161" s="69"/>
      <c r="L161" s="69"/>
      <c r="M161" s="69"/>
      <c r="N161" s="69"/>
      <c r="O161" s="372">
        <v>15384.76251</v>
      </c>
      <c r="P161" s="76">
        <f>O161/$O$226</f>
        <v>1.7778931991731754E-2</v>
      </c>
      <c r="Q161" s="69"/>
      <c r="R161" s="372">
        <v>1433513</v>
      </c>
      <c r="S161" s="372"/>
      <c r="T161" s="372">
        <v>1433513</v>
      </c>
      <c r="U161" s="427">
        <f t="shared" si="109"/>
        <v>0</v>
      </c>
      <c r="V161" s="112">
        <f t="shared" si="110"/>
        <v>0</v>
      </c>
      <c r="W161" s="372">
        <v>41232.024326793427</v>
      </c>
      <c r="X161" s="71">
        <f>W161-O161</f>
        <v>25847.261816793427</v>
      </c>
      <c r="Y161" s="76">
        <f>X161/W161</f>
        <v>0.62687346155830959</v>
      </c>
      <c r="Z161" s="76">
        <f>1-Y161</f>
        <v>0.37312653844169041</v>
      </c>
      <c r="AA161" s="126">
        <f>Z161*Q161</f>
        <v>0</v>
      </c>
      <c r="AB161" s="126">
        <f t="shared" si="119"/>
        <v>0.37312653844169041</v>
      </c>
      <c r="AC161" s="126">
        <f t="shared" si="119"/>
        <v>-0.37312653844169041</v>
      </c>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c r="BI161" s="240"/>
      <c r="BJ161" s="240"/>
      <c r="BK161" s="240"/>
      <c r="BL161" s="240"/>
      <c r="BM161" s="240"/>
      <c r="BN161" s="240"/>
      <c r="BO161" s="240"/>
      <c r="BP161" s="240"/>
      <c r="BQ161" s="240"/>
    </row>
    <row r="162" spans="2:69" x14ac:dyDescent="0.2">
      <c r="B162" s="72">
        <f>'OPG hydro peers'!B16</f>
        <v>1</v>
      </c>
      <c r="C162" s="72">
        <f t="shared" si="98"/>
        <v>12</v>
      </c>
      <c r="D162" s="72" t="str">
        <f>'OPG hydro peers'!D16</f>
        <v>AP Power</v>
      </c>
      <c r="F162" s="73">
        <v>2002</v>
      </c>
      <c r="G162" s="374">
        <v>739.7</v>
      </c>
      <c r="H162" s="374"/>
      <c r="I162" s="374"/>
      <c r="J162" s="75">
        <f t="shared" ref="J162:J174" si="120">R162/(G162*8760)</f>
        <v>0.15075005725510096</v>
      </c>
      <c r="K162" s="127"/>
      <c r="L162" s="127"/>
      <c r="M162" s="127"/>
      <c r="N162" s="127"/>
      <c r="O162" s="373">
        <v>21647.322270000001</v>
      </c>
      <c r="P162" s="75">
        <f>O162/$O$214</f>
        <v>4.1839025072982011E-2</v>
      </c>
      <c r="Q162" s="75"/>
      <c r="R162" s="374">
        <v>976826</v>
      </c>
      <c r="S162" s="374"/>
      <c r="T162" s="374">
        <v>1010746</v>
      </c>
      <c r="U162" s="427">
        <f t="shared" si="109"/>
        <v>-33920</v>
      </c>
      <c r="V162" s="112">
        <f t="shared" si="110"/>
        <v>-3.4724710439730314E-2</v>
      </c>
      <c r="W162" s="373">
        <v>29570.549420331001</v>
      </c>
      <c r="X162" s="127">
        <f t="shared" ref="X162:X172" si="121">W162-O162</f>
        <v>7923.2271503310003</v>
      </c>
      <c r="Y162" s="75">
        <f>X162/W162</f>
        <v>0.26794318352717</v>
      </c>
      <c r="Z162" s="75">
        <f>1-Y162</f>
        <v>0.73205681647283005</v>
      </c>
      <c r="AA162" s="125">
        <f t="shared" ref="AA162:AA172" si="122">Z162*Q162</f>
        <v>0</v>
      </c>
      <c r="AB162" s="125">
        <f t="shared" si="119"/>
        <v>0.73205681647283005</v>
      </c>
      <c r="AC162" s="125">
        <f t="shared" si="119"/>
        <v>-0.73205681647283005</v>
      </c>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row>
    <row r="163" spans="2:69" x14ac:dyDescent="0.2">
      <c r="B163" s="72">
        <f t="shared" ref="B163:B174" si="123">B162</f>
        <v>1</v>
      </c>
      <c r="C163" s="72">
        <f t="shared" si="98"/>
        <v>12</v>
      </c>
      <c r="D163" s="72" t="str">
        <f t="shared" ref="D163:D174" si="124">D162</f>
        <v>AP Power</v>
      </c>
      <c r="F163" s="73">
        <v>2003</v>
      </c>
      <c r="G163" s="374">
        <v>739.7</v>
      </c>
      <c r="H163" s="374"/>
      <c r="I163" s="374"/>
      <c r="J163" s="75">
        <f t="shared" si="120"/>
        <v>0.23197282250054477</v>
      </c>
      <c r="K163" s="127"/>
      <c r="L163" s="127"/>
      <c r="M163" s="127"/>
      <c r="N163" s="127"/>
      <c r="O163" s="373">
        <v>19106.29233</v>
      </c>
      <c r="P163" s="75">
        <f>O163/$O$215</f>
        <v>3.4067120275028541E-2</v>
      </c>
      <c r="Q163" s="75"/>
      <c r="R163" s="374">
        <v>1503131</v>
      </c>
      <c r="S163" s="374"/>
      <c r="T163" s="374">
        <v>1564134</v>
      </c>
      <c r="U163" s="427">
        <f t="shared" si="109"/>
        <v>-61003</v>
      </c>
      <c r="V163" s="112">
        <f t="shared" si="110"/>
        <v>-4.0583954425795224E-2</v>
      </c>
      <c r="W163" s="373">
        <v>65870.076629178002</v>
      </c>
      <c r="X163" s="127">
        <f t="shared" si="121"/>
        <v>46763.784299178005</v>
      </c>
      <c r="Y163" s="75">
        <f t="shared" ref="Y163:Y173" si="125">X163/W163</f>
        <v>0.7099397282082921</v>
      </c>
      <c r="Z163" s="75">
        <f t="shared" ref="Z163:Z172" si="126">1-Y163</f>
        <v>0.2900602717917079</v>
      </c>
      <c r="AA163" s="125">
        <f t="shared" si="122"/>
        <v>0</v>
      </c>
      <c r="AB163" s="125">
        <f t="shared" ref="AB163:AC172" si="127">Z163-AA163</f>
        <v>0.2900602717917079</v>
      </c>
      <c r="AC163" s="125">
        <f t="shared" si="127"/>
        <v>-0.2900602717917079</v>
      </c>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row>
    <row r="164" spans="2:69" x14ac:dyDescent="0.2">
      <c r="B164" s="72">
        <f t="shared" si="123"/>
        <v>1</v>
      </c>
      <c r="C164" s="72">
        <f t="shared" si="98"/>
        <v>12</v>
      </c>
      <c r="D164" s="72" t="str">
        <f t="shared" si="124"/>
        <v>AP Power</v>
      </c>
      <c r="F164" s="73">
        <v>2004</v>
      </c>
      <c r="G164" s="374">
        <v>739.7</v>
      </c>
      <c r="H164" s="374"/>
      <c r="I164" s="374"/>
      <c r="J164" s="75">
        <f t="shared" si="120"/>
        <v>0.20261175856187533</v>
      </c>
      <c r="K164" s="127"/>
      <c r="L164" s="127"/>
      <c r="M164" s="127"/>
      <c r="N164" s="127"/>
      <c r="O164" s="373">
        <v>22360.681680000002</v>
      </c>
      <c r="P164" s="75">
        <f>O164/$O$216</f>
        <v>3.7225458047947795E-2</v>
      </c>
      <c r="Q164" s="75"/>
      <c r="R164" s="374">
        <v>1312878</v>
      </c>
      <c r="S164" s="374"/>
      <c r="T164" s="374">
        <v>1364725</v>
      </c>
      <c r="U164" s="427">
        <f t="shared" si="109"/>
        <v>-51847</v>
      </c>
      <c r="V164" s="112">
        <f t="shared" si="110"/>
        <v>-3.949110275288336E-2</v>
      </c>
      <c r="W164" s="373">
        <v>62736.493730012851</v>
      </c>
      <c r="X164" s="127">
        <f t="shared" si="121"/>
        <v>40375.81205001285</v>
      </c>
      <c r="Y164" s="75">
        <f t="shared" si="125"/>
        <v>0.64357775912327164</v>
      </c>
      <c r="Z164" s="75">
        <f t="shared" si="126"/>
        <v>0.35642224087672836</v>
      </c>
      <c r="AA164" s="125">
        <f t="shared" si="122"/>
        <v>0</v>
      </c>
      <c r="AB164" s="125">
        <f t="shared" si="127"/>
        <v>0.35642224087672836</v>
      </c>
      <c r="AC164" s="125">
        <f t="shared" si="127"/>
        <v>-0.35642224087672836</v>
      </c>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240"/>
      <c r="BJ164" s="240"/>
      <c r="BK164" s="240"/>
      <c r="BL164" s="240"/>
      <c r="BM164" s="240"/>
      <c r="BN164" s="240"/>
      <c r="BO164" s="240"/>
      <c r="BP164" s="240"/>
      <c r="BQ164" s="240"/>
    </row>
    <row r="165" spans="2:69" x14ac:dyDescent="0.2">
      <c r="B165" s="72">
        <f t="shared" si="123"/>
        <v>1</v>
      </c>
      <c r="C165" s="72">
        <f t="shared" si="98"/>
        <v>12</v>
      </c>
      <c r="D165" s="72" t="str">
        <f t="shared" si="124"/>
        <v>AP Power</v>
      </c>
      <c r="F165" s="73">
        <v>2005</v>
      </c>
      <c r="G165" s="374">
        <v>739.7</v>
      </c>
      <c r="H165" s="374"/>
      <c r="I165" s="374"/>
      <c r="J165" s="75">
        <f t="shared" si="120"/>
        <v>0.20179105067277059</v>
      </c>
      <c r="K165" s="127"/>
      <c r="L165" s="127"/>
      <c r="M165" s="127"/>
      <c r="N165" s="127"/>
      <c r="O165" s="373">
        <v>32823.90423</v>
      </c>
      <c r="P165" s="75">
        <f>O165/$O$217</f>
        <v>5.2544909643270341E-2</v>
      </c>
      <c r="Q165" s="75"/>
      <c r="R165" s="374">
        <v>1307560</v>
      </c>
      <c r="S165" s="374"/>
      <c r="T165" s="374">
        <v>1360662</v>
      </c>
      <c r="U165" s="427">
        <f t="shared" si="109"/>
        <v>-53102</v>
      </c>
      <c r="V165" s="112">
        <f t="shared" si="110"/>
        <v>-4.0611520695035028E-2</v>
      </c>
      <c r="W165" s="373">
        <v>68664.610685626802</v>
      </c>
      <c r="X165" s="127">
        <f t="shared" si="121"/>
        <v>35840.706455626801</v>
      </c>
      <c r="Y165" s="75">
        <f t="shared" si="125"/>
        <v>0.52196766424147434</v>
      </c>
      <c r="Z165" s="75">
        <f t="shared" si="126"/>
        <v>0.47803233575852566</v>
      </c>
      <c r="AA165" s="125">
        <f t="shared" si="122"/>
        <v>0</v>
      </c>
      <c r="AB165" s="125">
        <f t="shared" si="127"/>
        <v>0.47803233575852566</v>
      </c>
      <c r="AC165" s="125">
        <f t="shared" si="127"/>
        <v>-0.47803233575852566</v>
      </c>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0"/>
      <c r="BL165" s="240"/>
      <c r="BM165" s="240"/>
      <c r="BN165" s="240"/>
      <c r="BO165" s="240"/>
      <c r="BP165" s="240"/>
      <c r="BQ165" s="240"/>
    </row>
    <row r="166" spans="2:69" x14ac:dyDescent="0.2">
      <c r="B166" s="72">
        <f t="shared" si="123"/>
        <v>1</v>
      </c>
      <c r="C166" s="72">
        <f t="shared" si="98"/>
        <v>12</v>
      </c>
      <c r="D166" s="72" t="str">
        <f t="shared" si="124"/>
        <v>AP Power</v>
      </c>
      <c r="F166" s="73">
        <v>2006</v>
      </c>
      <c r="G166" s="374">
        <v>739.7</v>
      </c>
      <c r="H166" s="374"/>
      <c r="I166" s="374"/>
      <c r="J166" s="75">
        <f t="shared" si="120"/>
        <v>0.19074390271756475</v>
      </c>
      <c r="K166" s="127"/>
      <c r="L166" s="127"/>
      <c r="M166" s="127"/>
      <c r="N166" s="127"/>
      <c r="O166" s="373">
        <v>34698.77478</v>
      </c>
      <c r="P166" s="75">
        <f>O166/$O$218</f>
        <v>5.2223162188335635E-2</v>
      </c>
      <c r="Q166" s="75"/>
      <c r="R166" s="374">
        <v>1235977</v>
      </c>
      <c r="S166" s="374"/>
      <c r="T166" s="374">
        <v>1281707</v>
      </c>
      <c r="U166" s="427">
        <f t="shared" si="109"/>
        <v>-45730</v>
      </c>
      <c r="V166" s="112">
        <f t="shared" si="110"/>
        <v>-3.6999070371050595E-2</v>
      </c>
      <c r="W166" s="373">
        <v>57309.079262692692</v>
      </c>
      <c r="X166" s="127">
        <f t="shared" si="121"/>
        <v>22610.304482692693</v>
      </c>
      <c r="Y166" s="75">
        <f t="shared" si="125"/>
        <v>0.3945326774323461</v>
      </c>
      <c r="Z166" s="75">
        <f t="shared" si="126"/>
        <v>0.6054673225676539</v>
      </c>
      <c r="AA166" s="125">
        <f t="shared" si="122"/>
        <v>0</v>
      </c>
      <c r="AB166" s="125">
        <f t="shared" si="127"/>
        <v>0.6054673225676539</v>
      </c>
      <c r="AC166" s="125">
        <f t="shared" si="127"/>
        <v>-0.6054673225676539</v>
      </c>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40"/>
      <c r="BP166" s="240"/>
      <c r="BQ166" s="240"/>
    </row>
    <row r="167" spans="2:69" x14ac:dyDescent="0.2">
      <c r="B167" s="72">
        <f t="shared" si="123"/>
        <v>1</v>
      </c>
      <c r="C167" s="72">
        <f t="shared" si="98"/>
        <v>12</v>
      </c>
      <c r="D167" s="72" t="str">
        <f t="shared" si="124"/>
        <v>AP Power</v>
      </c>
      <c r="F167" s="73">
        <v>2007</v>
      </c>
      <c r="G167" s="374">
        <v>739.7</v>
      </c>
      <c r="H167" s="374"/>
      <c r="I167" s="374"/>
      <c r="J167" s="75">
        <f t="shared" si="120"/>
        <v>0.18042548410653955</v>
      </c>
      <c r="K167" s="127"/>
      <c r="L167" s="127"/>
      <c r="M167" s="127"/>
      <c r="N167" s="127"/>
      <c r="O167" s="373">
        <v>35563.49553</v>
      </c>
      <c r="P167" s="75">
        <f>O167/$O$219</f>
        <v>4.9306586349623857E-2</v>
      </c>
      <c r="Q167" s="75"/>
      <c r="R167" s="374">
        <v>1169116</v>
      </c>
      <c r="S167" s="374"/>
      <c r="T167" s="374">
        <v>1206664</v>
      </c>
      <c r="U167" s="427">
        <f t="shared" si="109"/>
        <v>-37548</v>
      </c>
      <c r="V167" s="112">
        <f t="shared" si="110"/>
        <v>-3.2116573547877197E-2</v>
      </c>
      <c r="W167" s="373">
        <v>55460.844533588388</v>
      </c>
      <c r="X167" s="127">
        <f t="shared" si="121"/>
        <v>19897.349003588388</v>
      </c>
      <c r="Y167" s="75">
        <f t="shared" si="125"/>
        <v>0.3587639021893741</v>
      </c>
      <c r="Z167" s="75">
        <f t="shared" si="126"/>
        <v>0.64123609781062596</v>
      </c>
      <c r="AA167" s="125">
        <f t="shared" si="122"/>
        <v>0</v>
      </c>
      <c r="AB167" s="125">
        <f t="shared" si="127"/>
        <v>0.64123609781062596</v>
      </c>
      <c r="AC167" s="125">
        <f t="shared" si="127"/>
        <v>-0.64123609781062596</v>
      </c>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c r="BI167" s="240"/>
      <c r="BJ167" s="240"/>
      <c r="BK167" s="240"/>
      <c r="BL167" s="240"/>
      <c r="BM167" s="240"/>
      <c r="BN167" s="240"/>
      <c r="BO167" s="240"/>
      <c r="BP167" s="240"/>
      <c r="BQ167" s="240"/>
    </row>
    <row r="168" spans="2:69" x14ac:dyDescent="0.2">
      <c r="B168" s="72">
        <f t="shared" si="123"/>
        <v>1</v>
      </c>
      <c r="C168" s="72">
        <f t="shared" ref="C168:C204" si="128">IF(D168=D167,C167,C167+1)</f>
        <v>12</v>
      </c>
      <c r="D168" s="72" t="str">
        <f t="shared" si="124"/>
        <v>AP Power</v>
      </c>
      <c r="F168" s="73">
        <v>2008</v>
      </c>
      <c r="G168" s="374">
        <v>739.7</v>
      </c>
      <c r="H168" s="374"/>
      <c r="I168" s="374"/>
      <c r="J168" s="75">
        <f t="shared" si="120"/>
        <v>0.16309277548654488</v>
      </c>
      <c r="K168" s="127"/>
      <c r="L168" s="127"/>
      <c r="M168" s="127"/>
      <c r="N168" s="127"/>
      <c r="O168" s="373">
        <v>37706.530680000003</v>
      </c>
      <c r="P168" s="75">
        <f>O168/$O$220</f>
        <v>4.8239788683984534E-2</v>
      </c>
      <c r="Q168" s="75"/>
      <c r="R168" s="374">
        <v>1056804</v>
      </c>
      <c r="S168" s="374"/>
      <c r="T168" s="374">
        <v>1087886</v>
      </c>
      <c r="U168" s="427">
        <f t="shared" si="109"/>
        <v>-31082</v>
      </c>
      <c r="V168" s="112">
        <f t="shared" si="110"/>
        <v>-2.9411319412114261E-2</v>
      </c>
      <c r="W168" s="373">
        <v>61109.589600035302</v>
      </c>
      <c r="X168" s="127">
        <f t="shared" si="121"/>
        <v>23403.058920035299</v>
      </c>
      <c r="Y168" s="75">
        <f t="shared" si="125"/>
        <v>0.38296868090931802</v>
      </c>
      <c r="Z168" s="75">
        <f t="shared" si="126"/>
        <v>0.61703131909068198</v>
      </c>
      <c r="AA168" s="125">
        <f t="shared" si="122"/>
        <v>0</v>
      </c>
      <c r="AB168" s="125">
        <f t="shared" si="127"/>
        <v>0.61703131909068198</v>
      </c>
      <c r="AC168" s="125">
        <f t="shared" si="127"/>
        <v>-0.61703131909068198</v>
      </c>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row>
    <row r="169" spans="2:69" x14ac:dyDescent="0.2">
      <c r="B169" s="72">
        <f t="shared" si="123"/>
        <v>1</v>
      </c>
      <c r="C169" s="72">
        <f t="shared" si="128"/>
        <v>12</v>
      </c>
      <c r="D169" s="72" t="str">
        <f t="shared" si="124"/>
        <v>AP Power</v>
      </c>
      <c r="F169" s="73">
        <v>2009</v>
      </c>
      <c r="G169" s="374">
        <v>739.7</v>
      </c>
      <c r="H169" s="374"/>
      <c r="I169" s="374"/>
      <c r="J169" s="75">
        <f t="shared" si="120"/>
        <v>0.18539062794184732</v>
      </c>
      <c r="K169" s="127"/>
      <c r="L169" s="127"/>
      <c r="M169" s="127"/>
      <c r="N169" s="127"/>
      <c r="O169" s="373">
        <v>34873.809929999996</v>
      </c>
      <c r="P169" s="75">
        <f>O169/$O$221</f>
        <v>4.4608594681847941E-2</v>
      </c>
      <c r="Q169" s="75"/>
      <c r="R169" s="374">
        <v>1201289</v>
      </c>
      <c r="S169" s="374"/>
      <c r="T169" s="374">
        <v>1251739</v>
      </c>
      <c r="U169" s="427">
        <f t="shared" si="109"/>
        <v>-50450</v>
      </c>
      <c r="V169" s="112">
        <f t="shared" si="110"/>
        <v>-4.1996555366776857E-2</v>
      </c>
      <c r="W169" s="373">
        <v>45532.115420822447</v>
      </c>
      <c r="X169" s="127">
        <f t="shared" si="121"/>
        <v>10658.305490822451</v>
      </c>
      <c r="Y169" s="75">
        <f t="shared" si="125"/>
        <v>0.2340832485447901</v>
      </c>
      <c r="Z169" s="75">
        <f t="shared" si="126"/>
        <v>0.76591675145520988</v>
      </c>
      <c r="AA169" s="125">
        <f t="shared" si="122"/>
        <v>0</v>
      </c>
      <c r="AB169" s="125">
        <f t="shared" si="127"/>
        <v>0.76591675145520988</v>
      </c>
      <c r="AC169" s="125">
        <f t="shared" si="127"/>
        <v>-0.76591675145520988</v>
      </c>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row>
    <row r="170" spans="2:69" x14ac:dyDescent="0.2">
      <c r="B170" s="72">
        <f t="shared" si="123"/>
        <v>1</v>
      </c>
      <c r="C170" s="72">
        <f t="shared" si="128"/>
        <v>12</v>
      </c>
      <c r="D170" s="72" t="str">
        <f t="shared" si="124"/>
        <v>AP Power</v>
      </c>
      <c r="F170" s="73">
        <v>2010</v>
      </c>
      <c r="G170" s="374">
        <v>739.7</v>
      </c>
      <c r="H170" s="374"/>
      <c r="I170" s="374"/>
      <c r="J170" s="75">
        <f t="shared" si="120"/>
        <v>0.18367667874733865</v>
      </c>
      <c r="K170" s="127"/>
      <c r="L170" s="127"/>
      <c r="M170" s="127"/>
      <c r="N170" s="127"/>
      <c r="O170" s="373">
        <v>38269.319640000002</v>
      </c>
      <c r="P170" s="75">
        <f>O170/$O$222</f>
        <v>4.5539436839369937E-2</v>
      </c>
      <c r="Q170" s="75"/>
      <c r="R170" s="374">
        <v>1190183</v>
      </c>
      <c r="S170" s="374"/>
      <c r="T170" s="374">
        <v>1216683</v>
      </c>
      <c r="U170" s="427">
        <f t="shared" si="109"/>
        <v>-26500</v>
      </c>
      <c r="V170" s="112">
        <f t="shared" si="110"/>
        <v>-2.2265483543287039E-2</v>
      </c>
      <c r="W170" s="373">
        <v>51515.028856869401</v>
      </c>
      <c r="X170" s="127">
        <f t="shared" si="121"/>
        <v>13245.7092168694</v>
      </c>
      <c r="Y170" s="75">
        <f t="shared" si="125"/>
        <v>0.25712320289427765</v>
      </c>
      <c r="Z170" s="75">
        <f t="shared" si="126"/>
        <v>0.74287679710572241</v>
      </c>
      <c r="AA170" s="125">
        <f t="shared" si="122"/>
        <v>0</v>
      </c>
      <c r="AB170" s="125">
        <f t="shared" si="127"/>
        <v>0.74287679710572241</v>
      </c>
      <c r="AC170" s="125">
        <f t="shared" si="127"/>
        <v>-0.74287679710572241</v>
      </c>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c r="BI170" s="240"/>
      <c r="BJ170" s="240"/>
      <c r="BK170" s="240"/>
      <c r="BL170" s="240"/>
      <c r="BM170" s="240"/>
      <c r="BN170" s="240"/>
      <c r="BO170" s="240"/>
      <c r="BP170" s="240"/>
      <c r="BQ170" s="240"/>
    </row>
    <row r="171" spans="2:69" x14ac:dyDescent="0.2">
      <c r="B171" s="72">
        <f t="shared" si="123"/>
        <v>1</v>
      </c>
      <c r="C171" s="72">
        <f t="shared" si="128"/>
        <v>12</v>
      </c>
      <c r="D171" s="72" t="str">
        <f t="shared" si="124"/>
        <v>AP Power</v>
      </c>
      <c r="F171" s="73">
        <v>2011</v>
      </c>
      <c r="G171" s="374">
        <v>778.7</v>
      </c>
      <c r="H171" s="374"/>
      <c r="I171" s="374"/>
      <c r="J171" s="75">
        <f t="shared" si="120"/>
        <v>0.15214269421052415</v>
      </c>
      <c r="K171" s="127"/>
      <c r="L171" s="127"/>
      <c r="M171" s="127"/>
      <c r="N171" s="127"/>
      <c r="O171" s="373">
        <v>33342.314789999997</v>
      </c>
      <c r="P171" s="75">
        <f>O171/$O$223</f>
        <v>4.0970397868878697E-2</v>
      </c>
      <c r="Q171" s="75"/>
      <c r="R171" s="374">
        <v>1037828</v>
      </c>
      <c r="S171" s="374"/>
      <c r="T171" s="374">
        <v>1084673</v>
      </c>
      <c r="U171" s="427">
        <f t="shared" si="109"/>
        <v>-46845</v>
      </c>
      <c r="V171" s="112">
        <f t="shared" si="110"/>
        <v>-4.513753724123843E-2</v>
      </c>
      <c r="W171" s="373">
        <v>46708.605685079026</v>
      </c>
      <c r="X171" s="127">
        <f t="shared" si="121"/>
        <v>13366.29089507903</v>
      </c>
      <c r="Y171" s="75">
        <f t="shared" si="125"/>
        <v>0.28616334611223188</v>
      </c>
      <c r="Z171" s="75">
        <f t="shared" si="126"/>
        <v>0.71383665388776807</v>
      </c>
      <c r="AA171" s="125">
        <f t="shared" si="122"/>
        <v>0</v>
      </c>
      <c r="AB171" s="125">
        <f t="shared" si="127"/>
        <v>0.71383665388776807</v>
      </c>
      <c r="AC171" s="125">
        <f t="shared" si="127"/>
        <v>-0.71383665388776807</v>
      </c>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c r="BI171" s="240"/>
      <c r="BJ171" s="240"/>
      <c r="BK171" s="240"/>
      <c r="BL171" s="240"/>
      <c r="BM171" s="240"/>
      <c r="BN171" s="240"/>
      <c r="BO171" s="240"/>
      <c r="BP171" s="240"/>
      <c r="BQ171" s="240"/>
    </row>
    <row r="172" spans="2:69" x14ac:dyDescent="0.2">
      <c r="B172" s="72">
        <f t="shared" si="123"/>
        <v>1</v>
      </c>
      <c r="C172" s="72">
        <f t="shared" si="128"/>
        <v>12</v>
      </c>
      <c r="D172" s="72" t="str">
        <f t="shared" si="124"/>
        <v>AP Power</v>
      </c>
      <c r="F172" s="73">
        <v>2012</v>
      </c>
      <c r="G172" s="374">
        <v>778.7</v>
      </c>
      <c r="H172" s="374"/>
      <c r="I172" s="374"/>
      <c r="J172" s="75">
        <f t="shared" si="120"/>
        <v>0.14220853395162175</v>
      </c>
      <c r="K172" s="127"/>
      <c r="L172" s="127"/>
      <c r="M172" s="127"/>
      <c r="N172" s="127"/>
      <c r="O172" s="373">
        <v>28907.146349999999</v>
      </c>
      <c r="P172" s="75">
        <f>O172/$O$224</f>
        <v>3.5034864933214969E-2</v>
      </c>
      <c r="Q172" s="75"/>
      <c r="R172" s="374">
        <v>970063</v>
      </c>
      <c r="S172" s="374"/>
      <c r="T172" s="374">
        <v>1014326</v>
      </c>
      <c r="U172" s="427">
        <f t="shared" si="109"/>
        <v>-44263</v>
      </c>
      <c r="V172" s="112">
        <f t="shared" si="110"/>
        <v>-4.56289952302067E-2</v>
      </c>
      <c r="W172" s="373">
        <v>33442.6171642517</v>
      </c>
      <c r="X172" s="127">
        <f t="shared" si="121"/>
        <v>4535.4708142517011</v>
      </c>
      <c r="Y172" s="75">
        <f>AVERAGE(Y162:Y171)</f>
        <v>0.40570633931825462</v>
      </c>
      <c r="Z172" s="75">
        <f t="shared" si="126"/>
        <v>0.59429366068174538</v>
      </c>
      <c r="AA172" s="125">
        <f t="shared" si="122"/>
        <v>0</v>
      </c>
      <c r="AB172" s="125">
        <f t="shared" si="127"/>
        <v>0.59429366068174538</v>
      </c>
      <c r="AC172" s="125">
        <f t="shared" si="127"/>
        <v>-0.59429366068174538</v>
      </c>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c r="BI172" s="240"/>
      <c r="BJ172" s="240"/>
      <c r="BK172" s="240"/>
      <c r="BL172" s="240"/>
      <c r="BM172" s="240"/>
      <c r="BN172" s="240"/>
      <c r="BO172" s="240"/>
      <c r="BP172" s="240"/>
      <c r="BQ172" s="240"/>
    </row>
    <row r="173" spans="2:69" x14ac:dyDescent="0.2">
      <c r="B173" s="72">
        <f t="shared" si="123"/>
        <v>1</v>
      </c>
      <c r="C173" s="72">
        <f t="shared" si="128"/>
        <v>12</v>
      </c>
      <c r="D173" s="72" t="str">
        <f t="shared" si="124"/>
        <v>AP Power</v>
      </c>
      <c r="F173" s="73">
        <v>2013</v>
      </c>
      <c r="G173" s="374">
        <v>839.99999999999989</v>
      </c>
      <c r="H173" s="374"/>
      <c r="I173" s="374"/>
      <c r="J173" s="75">
        <f t="shared" si="120"/>
        <v>0.1446603881278539</v>
      </c>
      <c r="K173" s="127"/>
      <c r="L173" s="127"/>
      <c r="M173" s="127"/>
      <c r="N173" s="127"/>
      <c r="O173" s="373">
        <v>27228.371009999999</v>
      </c>
      <c r="P173" s="75">
        <f>O173/$O$225</f>
        <v>3.2339952765495117E-2</v>
      </c>
      <c r="Q173" s="72"/>
      <c r="R173" s="374">
        <v>1064469</v>
      </c>
      <c r="S173" s="374"/>
      <c r="T173" s="374">
        <v>1089612</v>
      </c>
      <c r="U173" s="427">
        <f t="shared" si="109"/>
        <v>-25143</v>
      </c>
      <c r="V173" s="112">
        <f t="shared" si="110"/>
        <v>-2.3620227550074261E-2</v>
      </c>
      <c r="W173" s="373">
        <v>41472.236619902702</v>
      </c>
      <c r="X173" s="127">
        <f>W173-O173</f>
        <v>14243.865609902703</v>
      </c>
      <c r="Y173" s="75">
        <f t="shared" si="125"/>
        <v>0.34345544804947925</v>
      </c>
      <c r="Z173" s="75">
        <f>1-Y173</f>
        <v>0.65654455195052075</v>
      </c>
      <c r="AA173" s="125">
        <f>Z173*Q173</f>
        <v>0</v>
      </c>
      <c r="AB173" s="125">
        <f t="shared" ref="AB173:AC175" si="129">Z173-AA173</f>
        <v>0.65654455195052075</v>
      </c>
      <c r="AC173" s="125">
        <f t="shared" si="129"/>
        <v>-0.65654455195052075</v>
      </c>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c r="BI173" s="240"/>
      <c r="BJ173" s="240"/>
      <c r="BK173" s="240"/>
      <c r="BL173" s="240"/>
      <c r="BM173" s="240"/>
      <c r="BN173" s="240"/>
      <c r="BO173" s="240"/>
      <c r="BP173" s="240"/>
      <c r="BQ173" s="240"/>
    </row>
    <row r="174" spans="2:69" x14ac:dyDescent="0.2">
      <c r="B174" s="72">
        <f t="shared" si="123"/>
        <v>1</v>
      </c>
      <c r="C174" s="72">
        <f t="shared" si="128"/>
        <v>12</v>
      </c>
      <c r="D174" s="72" t="str">
        <f t="shared" si="124"/>
        <v>AP Power</v>
      </c>
      <c r="F174" s="73">
        <v>2014</v>
      </c>
      <c r="G174" s="374">
        <v>839.69999999999993</v>
      </c>
      <c r="H174" s="374"/>
      <c r="I174" s="374"/>
      <c r="J174" s="75">
        <f t="shared" si="120"/>
        <v>0.12316790134332604</v>
      </c>
      <c r="K174" s="127"/>
      <c r="L174" s="127"/>
      <c r="M174" s="127"/>
      <c r="N174" s="127"/>
      <c r="O174" s="373">
        <v>33127.893809999994</v>
      </c>
      <c r="P174" s="75">
        <f>O174/$O$226</f>
        <v>3.8283241011648296E-2</v>
      </c>
      <c r="Q174" s="72"/>
      <c r="R174" s="374">
        <v>905995</v>
      </c>
      <c r="S174" s="374"/>
      <c r="T174" s="374">
        <v>941495</v>
      </c>
      <c r="U174" s="427">
        <f t="shared" si="109"/>
        <v>-35500</v>
      </c>
      <c r="V174" s="112">
        <f t="shared" si="110"/>
        <v>-3.9183439202203102E-2</v>
      </c>
      <c r="W174" s="373">
        <v>25804.046626830095</v>
      </c>
      <c r="X174" s="127">
        <f>W174-O174</f>
        <v>-7323.8471831698989</v>
      </c>
      <c r="Y174" s="75">
        <f>AVERAGE(Y162:Y173)</f>
        <v>0.40051876504585665</v>
      </c>
      <c r="Z174" s="75">
        <f>1-Y174</f>
        <v>0.5994812349541434</v>
      </c>
      <c r="AA174" s="125">
        <f>Z174*Q174</f>
        <v>0</v>
      </c>
      <c r="AB174" s="125">
        <f t="shared" si="129"/>
        <v>0.5994812349541434</v>
      </c>
      <c r="AC174" s="125">
        <f t="shared" si="129"/>
        <v>-0.5994812349541434</v>
      </c>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row>
    <row r="175" spans="2:69" x14ac:dyDescent="0.2">
      <c r="B175" s="69">
        <f>'OPG hydro peers'!B17</f>
        <v>1</v>
      </c>
      <c r="C175" s="69">
        <f t="shared" si="128"/>
        <v>13</v>
      </c>
      <c r="D175" s="69" t="str">
        <f>'OPG hydro peers'!D17</f>
        <v>SCE&amp;G</v>
      </c>
      <c r="F175" s="70">
        <v>2002</v>
      </c>
      <c r="G175" s="372">
        <v>760.8</v>
      </c>
      <c r="H175" s="372"/>
      <c r="I175" s="372"/>
      <c r="J175" s="76">
        <f t="shared" ref="J175:J187" si="130">R175/(G175*8760)</f>
        <v>0.14300375956095243</v>
      </c>
      <c r="K175" s="71"/>
      <c r="L175" s="71"/>
      <c r="M175" s="71"/>
      <c r="N175" s="71"/>
      <c r="O175" s="372">
        <v>6273.6912599999996</v>
      </c>
      <c r="P175" s="76">
        <f>O175/$O$214</f>
        <v>1.2125524009547075E-2</v>
      </c>
      <c r="Q175" s="76"/>
      <c r="R175" s="372">
        <v>953064</v>
      </c>
      <c r="S175" s="372"/>
      <c r="T175" s="372">
        <v>969825</v>
      </c>
      <c r="U175" s="427">
        <f t="shared" si="109"/>
        <v>-16761</v>
      </c>
      <c r="V175" s="112">
        <f t="shared" si="110"/>
        <v>-1.758643700737831E-2</v>
      </c>
      <c r="W175" s="372">
        <v>6437.5590314534984</v>
      </c>
      <c r="X175" s="71">
        <f t="shared" ref="X175:X185" si="131">W175-O175</f>
        <v>163.86777145349879</v>
      </c>
      <c r="Y175" s="76">
        <f>AVERAGE($Y$176:$Y$180,$Y$182:$Y$183)</f>
        <v>0.44666486599078531</v>
      </c>
      <c r="Z175" s="76">
        <f>1-Y175</f>
        <v>0.55333513400921475</v>
      </c>
      <c r="AA175" s="126">
        <f t="shared" ref="AA175:AA185" si="132">Z175*Q175</f>
        <v>0</v>
      </c>
      <c r="AB175" s="126">
        <f t="shared" si="129"/>
        <v>0.55333513400921475</v>
      </c>
      <c r="AC175" s="126">
        <f t="shared" si="129"/>
        <v>-0.55333513400921475</v>
      </c>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c r="BI175" s="240"/>
      <c r="BJ175" s="240"/>
      <c r="BK175" s="240"/>
      <c r="BL175" s="240"/>
      <c r="BM175" s="240"/>
      <c r="BN175" s="240"/>
      <c r="BO175" s="240"/>
      <c r="BP175" s="240"/>
      <c r="BQ175" s="240"/>
    </row>
    <row r="176" spans="2:69" x14ac:dyDescent="0.2">
      <c r="B176" s="69">
        <f t="shared" ref="B176:B187" si="133">B175</f>
        <v>1</v>
      </c>
      <c r="C176" s="69">
        <f t="shared" si="128"/>
        <v>13</v>
      </c>
      <c r="D176" s="69" t="str">
        <f t="shared" ref="D176:D183" si="134">D175</f>
        <v>SCE&amp;G</v>
      </c>
      <c r="F176" s="70">
        <v>2003</v>
      </c>
      <c r="G176" s="372">
        <v>750.5</v>
      </c>
      <c r="H176" s="372"/>
      <c r="I176" s="372"/>
      <c r="J176" s="76">
        <f t="shared" si="130"/>
        <v>0.19560490875185188</v>
      </c>
      <c r="K176" s="71"/>
      <c r="L176" s="71"/>
      <c r="M176" s="71"/>
      <c r="N176" s="71"/>
      <c r="O176" s="372">
        <v>6575.3733600000005</v>
      </c>
      <c r="P176" s="76">
        <f>O176/$O$215</f>
        <v>1.1724097550659562E-2</v>
      </c>
      <c r="Q176" s="76"/>
      <c r="R176" s="372">
        <v>1285981</v>
      </c>
      <c r="S176" s="372"/>
      <c r="T176" s="372">
        <v>1322734</v>
      </c>
      <c r="U176" s="427">
        <f t="shared" si="109"/>
        <v>-36753</v>
      </c>
      <c r="V176" s="112">
        <f t="shared" si="110"/>
        <v>-2.8579737958803433E-2</v>
      </c>
      <c r="W176" s="372">
        <v>18541.377933948304</v>
      </c>
      <c r="X176" s="71">
        <f t="shared" si="131"/>
        <v>11966.004573948303</v>
      </c>
      <c r="Y176" s="76">
        <f t="shared" ref="Y176:Y183" si="135">X176/W176</f>
        <v>0.64536759978551361</v>
      </c>
      <c r="Z176" s="76">
        <f t="shared" ref="Z176:Z185" si="136">1-Y176</f>
        <v>0.35463240021448639</v>
      </c>
      <c r="AA176" s="126">
        <f t="shared" si="132"/>
        <v>0</v>
      </c>
      <c r="AB176" s="126">
        <f t="shared" ref="AB176:AC185" si="137">Z176-AA176</f>
        <v>0.35463240021448639</v>
      </c>
      <c r="AC176" s="126">
        <f t="shared" si="137"/>
        <v>-0.35463240021448639</v>
      </c>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row>
    <row r="177" spans="2:69" x14ac:dyDescent="0.2">
      <c r="B177" s="69">
        <f t="shared" si="133"/>
        <v>1</v>
      </c>
      <c r="C177" s="69">
        <f t="shared" si="128"/>
        <v>13</v>
      </c>
      <c r="D177" s="69" t="str">
        <f t="shared" si="134"/>
        <v>SCE&amp;G</v>
      </c>
      <c r="F177" s="70">
        <v>2004</v>
      </c>
      <c r="G177" s="372">
        <v>750.5</v>
      </c>
      <c r="H177" s="372"/>
      <c r="I177" s="372"/>
      <c r="J177" s="76">
        <f t="shared" si="130"/>
        <v>0.17241047825042058</v>
      </c>
      <c r="K177" s="71"/>
      <c r="L177" s="71"/>
      <c r="M177" s="71"/>
      <c r="N177" s="71"/>
      <c r="O177" s="372">
        <v>6709.1752199999992</v>
      </c>
      <c r="P177" s="76">
        <f>O177/$O$216</f>
        <v>1.1169253436125157E-2</v>
      </c>
      <c r="Q177" s="76"/>
      <c r="R177" s="372">
        <v>1133492</v>
      </c>
      <c r="S177" s="372"/>
      <c r="T177" s="372">
        <v>1152908</v>
      </c>
      <c r="U177" s="427">
        <f t="shared" si="109"/>
        <v>-19416</v>
      </c>
      <c r="V177" s="112">
        <f t="shared" si="110"/>
        <v>-1.7129366594559114E-2</v>
      </c>
      <c r="W177" s="372">
        <v>11193.024172133533</v>
      </c>
      <c r="X177" s="71">
        <f t="shared" si="131"/>
        <v>4483.8489521335341</v>
      </c>
      <c r="Y177" s="76">
        <f t="shared" si="135"/>
        <v>0.4005931625964545</v>
      </c>
      <c r="Z177" s="76">
        <f t="shared" si="136"/>
        <v>0.5994068374035455</v>
      </c>
      <c r="AA177" s="126">
        <f t="shared" si="132"/>
        <v>0</v>
      </c>
      <c r="AB177" s="126">
        <f t="shared" si="137"/>
        <v>0.5994068374035455</v>
      </c>
      <c r="AC177" s="126">
        <f t="shared" si="137"/>
        <v>-0.5994068374035455</v>
      </c>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row>
    <row r="178" spans="2:69" x14ac:dyDescent="0.2">
      <c r="B178" s="69">
        <f t="shared" si="133"/>
        <v>1</v>
      </c>
      <c r="C178" s="69">
        <f t="shared" si="128"/>
        <v>13</v>
      </c>
      <c r="D178" s="69" t="str">
        <f t="shared" si="134"/>
        <v>SCE&amp;G</v>
      </c>
      <c r="F178" s="70">
        <v>2005</v>
      </c>
      <c r="G178" s="372">
        <v>750.5</v>
      </c>
      <c r="H178" s="372"/>
      <c r="I178" s="372"/>
      <c r="J178" s="76">
        <f t="shared" si="130"/>
        <v>0.19368062083420795</v>
      </c>
      <c r="K178" s="71"/>
      <c r="L178" s="71"/>
      <c r="M178" s="71"/>
      <c r="N178" s="71"/>
      <c r="O178" s="372">
        <v>6809.7437100000006</v>
      </c>
      <c r="P178" s="76">
        <f>O178/$O$217</f>
        <v>1.0901121494521817E-2</v>
      </c>
      <c r="Q178" s="76"/>
      <c r="R178" s="372">
        <v>1273330</v>
      </c>
      <c r="S178" s="372"/>
      <c r="T178" s="372">
        <v>1284771</v>
      </c>
      <c r="U178" s="427">
        <f t="shared" si="109"/>
        <v>-11441</v>
      </c>
      <c r="V178" s="112">
        <f t="shared" si="110"/>
        <v>-8.9851020552409819E-3</v>
      </c>
      <c r="W178" s="372">
        <v>24820.439900745001</v>
      </c>
      <c r="X178" s="71">
        <f t="shared" si="131"/>
        <v>18010.696190745002</v>
      </c>
      <c r="Y178" s="76">
        <f t="shared" si="135"/>
        <v>0.72563968498416498</v>
      </c>
      <c r="Z178" s="76">
        <f t="shared" si="136"/>
        <v>0.27436031501583502</v>
      </c>
      <c r="AA178" s="126">
        <f t="shared" si="132"/>
        <v>0</v>
      </c>
      <c r="AB178" s="126">
        <f t="shared" si="137"/>
        <v>0.27436031501583502</v>
      </c>
      <c r="AC178" s="126">
        <f t="shared" si="137"/>
        <v>-0.27436031501583502</v>
      </c>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row>
    <row r="179" spans="2:69" x14ac:dyDescent="0.2">
      <c r="B179" s="69">
        <f t="shared" si="133"/>
        <v>1</v>
      </c>
      <c r="C179" s="69">
        <f t="shared" si="128"/>
        <v>13</v>
      </c>
      <c r="D179" s="69" t="str">
        <f t="shared" si="134"/>
        <v>SCE&amp;G</v>
      </c>
      <c r="F179" s="70">
        <v>2006</v>
      </c>
      <c r="G179" s="372">
        <v>750.5</v>
      </c>
      <c r="H179" s="372"/>
      <c r="I179" s="372"/>
      <c r="J179" s="76">
        <f t="shared" si="130"/>
        <v>0.1551315865526483</v>
      </c>
      <c r="K179" s="71"/>
      <c r="L179" s="71"/>
      <c r="M179" s="71"/>
      <c r="N179" s="71"/>
      <c r="O179" s="372">
        <v>7664.6785799999998</v>
      </c>
      <c r="P179" s="76">
        <f>O179/$O$218</f>
        <v>1.1535673958018701E-2</v>
      </c>
      <c r="Q179" s="76"/>
      <c r="R179" s="372">
        <v>1019894</v>
      </c>
      <c r="S179" s="372"/>
      <c r="T179" s="372">
        <v>1039999</v>
      </c>
      <c r="U179" s="427">
        <f t="shared" si="109"/>
        <v>-20105</v>
      </c>
      <c r="V179" s="112">
        <f t="shared" si="110"/>
        <v>-1.9712832902242784E-2</v>
      </c>
      <c r="W179" s="372">
        <v>10817.392776589499</v>
      </c>
      <c r="X179" s="71">
        <f t="shared" si="131"/>
        <v>3152.7141965894989</v>
      </c>
      <c r="Y179" s="76">
        <f t="shared" si="135"/>
        <v>0.29144861998655142</v>
      </c>
      <c r="Z179" s="76">
        <f t="shared" si="136"/>
        <v>0.70855138001344864</v>
      </c>
      <c r="AA179" s="126">
        <f t="shared" si="132"/>
        <v>0</v>
      </c>
      <c r="AB179" s="126">
        <f t="shared" si="137"/>
        <v>0.70855138001344864</v>
      </c>
      <c r="AC179" s="126">
        <f t="shared" si="137"/>
        <v>-0.70855138001344864</v>
      </c>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row>
    <row r="180" spans="2:69" x14ac:dyDescent="0.2">
      <c r="B180" s="69">
        <f t="shared" si="133"/>
        <v>1</v>
      </c>
      <c r="C180" s="69">
        <f t="shared" si="128"/>
        <v>13</v>
      </c>
      <c r="D180" s="69" t="str">
        <f t="shared" si="134"/>
        <v>SCE&amp;G</v>
      </c>
      <c r="F180" s="70">
        <v>2007</v>
      </c>
      <c r="G180" s="372">
        <v>750.5</v>
      </c>
      <c r="H180" s="372"/>
      <c r="I180" s="372"/>
      <c r="J180" s="76">
        <f t="shared" si="130"/>
        <v>0.15487954757710992</v>
      </c>
      <c r="K180" s="71"/>
      <c r="L180" s="71"/>
      <c r="M180" s="71"/>
      <c r="N180" s="71"/>
      <c r="O180" s="372">
        <v>6986.7702300000001</v>
      </c>
      <c r="P180" s="76">
        <f>O180/$O$219</f>
        <v>9.6867246741781775E-3</v>
      </c>
      <c r="Q180" s="76"/>
      <c r="R180" s="372">
        <v>1018237</v>
      </c>
      <c r="S180" s="372"/>
      <c r="T180" s="372">
        <v>1032985</v>
      </c>
      <c r="U180" s="427">
        <f t="shared" si="109"/>
        <v>-14748</v>
      </c>
      <c r="V180" s="112">
        <f t="shared" si="110"/>
        <v>-1.4483857883773621E-2</v>
      </c>
      <c r="W180" s="372">
        <v>11101.447910757601</v>
      </c>
      <c r="X180" s="71">
        <f t="shared" si="131"/>
        <v>4114.6776807576007</v>
      </c>
      <c r="Y180" s="76">
        <f t="shared" si="135"/>
        <v>0.37064333534100247</v>
      </c>
      <c r="Z180" s="76">
        <f t="shared" si="136"/>
        <v>0.62935666465899753</v>
      </c>
      <c r="AA180" s="126">
        <f t="shared" si="132"/>
        <v>0</v>
      </c>
      <c r="AB180" s="126">
        <f t="shared" si="137"/>
        <v>0.62935666465899753</v>
      </c>
      <c r="AC180" s="126">
        <f t="shared" si="137"/>
        <v>-0.62935666465899753</v>
      </c>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row>
    <row r="181" spans="2:69" x14ac:dyDescent="0.2">
      <c r="B181" s="69">
        <f t="shared" si="133"/>
        <v>1</v>
      </c>
      <c r="C181" s="69">
        <f t="shared" si="128"/>
        <v>13</v>
      </c>
      <c r="D181" s="69" t="str">
        <f t="shared" si="134"/>
        <v>SCE&amp;G</v>
      </c>
      <c r="F181" s="70">
        <v>2008</v>
      </c>
      <c r="G181" s="372">
        <v>750.3</v>
      </c>
      <c r="H181" s="372"/>
      <c r="I181" s="372"/>
      <c r="J181" s="76">
        <f t="shared" si="130"/>
        <v>0.13963486142833581</v>
      </c>
      <c r="K181" s="71"/>
      <c r="L181" s="71"/>
      <c r="M181" s="71"/>
      <c r="N181" s="71"/>
      <c r="O181" s="372">
        <v>7493.8155900000002</v>
      </c>
      <c r="P181" s="76">
        <f>O181/$O$220</f>
        <v>9.5872007840300429E-3</v>
      </c>
      <c r="Q181" s="76"/>
      <c r="R181" s="372">
        <v>917768</v>
      </c>
      <c r="S181" s="372"/>
      <c r="T181" s="372">
        <v>927309</v>
      </c>
      <c r="U181" s="427">
        <f t="shared" si="109"/>
        <v>-9541</v>
      </c>
      <c r="V181" s="112">
        <f t="shared" si="110"/>
        <v>-1.039587346693282E-2</v>
      </c>
      <c r="W181" s="372">
        <v>7397.8510074288542</v>
      </c>
      <c r="X181" s="71">
        <f t="shared" si="131"/>
        <v>-95.964582571145911</v>
      </c>
      <c r="Y181" s="76">
        <f>AVERAGE($Y$176:$Y$180,$Y$182:$Y$183)</f>
        <v>0.44666486599078531</v>
      </c>
      <c r="Z181" s="76">
        <f t="shared" si="136"/>
        <v>0.55333513400921475</v>
      </c>
      <c r="AA181" s="126">
        <f t="shared" si="132"/>
        <v>0</v>
      </c>
      <c r="AB181" s="126">
        <f t="shared" si="137"/>
        <v>0.55333513400921475</v>
      </c>
      <c r="AC181" s="126">
        <f t="shared" si="137"/>
        <v>-0.55333513400921475</v>
      </c>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row>
    <row r="182" spans="2:69" x14ac:dyDescent="0.2">
      <c r="B182" s="69">
        <f t="shared" si="133"/>
        <v>1</v>
      </c>
      <c r="C182" s="69">
        <f t="shared" si="128"/>
        <v>13</v>
      </c>
      <c r="D182" s="69" t="str">
        <f t="shared" si="134"/>
        <v>SCE&amp;G</v>
      </c>
      <c r="F182" s="70">
        <v>2009</v>
      </c>
      <c r="G182" s="372">
        <v>750.3</v>
      </c>
      <c r="H182" s="372"/>
      <c r="I182" s="372"/>
      <c r="J182" s="76">
        <f t="shared" si="130"/>
        <v>0.14609179159386473</v>
      </c>
      <c r="K182" s="71"/>
      <c r="L182" s="71"/>
      <c r="M182" s="71"/>
      <c r="N182" s="71"/>
      <c r="O182" s="372">
        <v>8426.2945799999979</v>
      </c>
      <c r="P182" s="76">
        <f>O182/$O$221</f>
        <v>1.0778436894149581E-2</v>
      </c>
      <c r="Q182" s="76"/>
      <c r="R182" s="372">
        <v>960207</v>
      </c>
      <c r="S182" s="372"/>
      <c r="T182" s="372">
        <v>974736</v>
      </c>
      <c r="U182" s="427">
        <f t="shared" si="109"/>
        <v>-14529</v>
      </c>
      <c r="V182" s="112">
        <f t="shared" si="110"/>
        <v>-1.513111235389869E-2</v>
      </c>
      <c r="W182" s="372">
        <v>12035.583572090065</v>
      </c>
      <c r="X182" s="71">
        <f t="shared" si="131"/>
        <v>3609.288992090067</v>
      </c>
      <c r="Y182" s="76">
        <f t="shared" si="135"/>
        <v>0.29988483487081036</v>
      </c>
      <c r="Z182" s="76">
        <f t="shared" si="136"/>
        <v>0.7001151651291897</v>
      </c>
      <c r="AA182" s="126">
        <f t="shared" si="132"/>
        <v>0</v>
      </c>
      <c r="AB182" s="126">
        <f t="shared" si="137"/>
        <v>0.7001151651291897</v>
      </c>
      <c r="AC182" s="126">
        <f t="shared" si="137"/>
        <v>-0.7001151651291897</v>
      </c>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row>
    <row r="183" spans="2:69" x14ac:dyDescent="0.2">
      <c r="B183" s="69">
        <f t="shared" si="133"/>
        <v>1</v>
      </c>
      <c r="C183" s="69">
        <f t="shared" si="128"/>
        <v>13</v>
      </c>
      <c r="D183" s="69" t="str">
        <f t="shared" si="134"/>
        <v>SCE&amp;G</v>
      </c>
      <c r="F183" s="70">
        <v>2010</v>
      </c>
      <c r="G183" s="372">
        <v>750.3</v>
      </c>
      <c r="H183" s="372"/>
      <c r="I183" s="372"/>
      <c r="J183" s="76">
        <f t="shared" si="130"/>
        <v>0.13243332803864755</v>
      </c>
      <c r="K183" s="71"/>
      <c r="L183" s="71"/>
      <c r="M183" s="71"/>
      <c r="N183" s="71"/>
      <c r="O183" s="372">
        <v>7307.6624700000002</v>
      </c>
      <c r="P183" s="76">
        <f>O183/$O$222</f>
        <v>8.6959171635798398E-3</v>
      </c>
      <c r="Q183" s="76"/>
      <c r="R183" s="372">
        <v>870435</v>
      </c>
      <c r="S183" s="372"/>
      <c r="T183" s="372">
        <v>889511</v>
      </c>
      <c r="U183" s="427">
        <f t="shared" si="109"/>
        <v>-19076</v>
      </c>
      <c r="V183" s="112">
        <f t="shared" si="110"/>
        <v>-2.1915479042088151E-2</v>
      </c>
      <c r="W183" s="372">
        <v>12040.506547515704</v>
      </c>
      <c r="X183" s="71">
        <f t="shared" si="131"/>
        <v>4732.8440775157042</v>
      </c>
      <c r="Y183" s="76">
        <f t="shared" si="135"/>
        <v>0.39307682437099983</v>
      </c>
      <c r="Z183" s="76">
        <f t="shared" si="136"/>
        <v>0.60692317562900011</v>
      </c>
      <c r="AA183" s="126">
        <f t="shared" si="132"/>
        <v>0</v>
      </c>
      <c r="AB183" s="126">
        <f t="shared" si="137"/>
        <v>0.60692317562900011</v>
      </c>
      <c r="AC183" s="126">
        <f t="shared" si="137"/>
        <v>-0.60692317562900011</v>
      </c>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c r="BI183" s="240"/>
      <c r="BJ183" s="240"/>
      <c r="BK183" s="240"/>
      <c r="BL183" s="240"/>
      <c r="BM183" s="240"/>
      <c r="BN183" s="240"/>
      <c r="BO183" s="240"/>
      <c r="BP183" s="240"/>
      <c r="BQ183" s="240"/>
    </row>
    <row r="184" spans="2:69" x14ac:dyDescent="0.2">
      <c r="B184" s="69">
        <f t="shared" si="133"/>
        <v>1</v>
      </c>
      <c r="C184" s="69">
        <f t="shared" si="128"/>
        <v>13</v>
      </c>
      <c r="D184" s="69" t="str">
        <f>D183</f>
        <v>SCE&amp;G</v>
      </c>
      <c r="F184" s="70">
        <v>2011</v>
      </c>
      <c r="G184" s="372">
        <v>750.3</v>
      </c>
      <c r="H184" s="372"/>
      <c r="I184" s="372"/>
      <c r="J184" s="76">
        <f t="shared" si="130"/>
        <v>0.11008960190657374</v>
      </c>
      <c r="K184" s="71"/>
      <c r="L184" s="71"/>
      <c r="M184" s="71"/>
      <c r="N184" s="71"/>
      <c r="O184" s="372">
        <v>7016.5682100000004</v>
      </c>
      <c r="P184" s="76">
        <f>O184/$O$223</f>
        <v>8.621824640802812E-3</v>
      </c>
      <c r="Q184" s="76"/>
      <c r="R184" s="372">
        <v>723578</v>
      </c>
      <c r="S184" s="372"/>
      <c r="T184" s="372">
        <v>734747</v>
      </c>
      <c r="U184" s="427">
        <f t="shared" si="109"/>
        <v>-11169</v>
      </c>
      <c r="V184" s="112">
        <f t="shared" si="110"/>
        <v>-1.5435792685791995E-2</v>
      </c>
      <c r="W184" s="372">
        <v>7326.3518371603623</v>
      </c>
      <c r="X184" s="71">
        <f t="shared" si="131"/>
        <v>309.7836271603619</v>
      </c>
      <c r="Y184" s="76">
        <f>AVERAGE($Y$176:$Y$180,$Y$182:$Y$183)</f>
        <v>0.44666486599078531</v>
      </c>
      <c r="Z184" s="76">
        <f t="shared" si="136"/>
        <v>0.55333513400921475</v>
      </c>
      <c r="AA184" s="126">
        <f t="shared" si="132"/>
        <v>0</v>
      </c>
      <c r="AB184" s="126">
        <f t="shared" si="137"/>
        <v>0.55333513400921475</v>
      </c>
      <c r="AC184" s="126">
        <f t="shared" si="137"/>
        <v>-0.55333513400921475</v>
      </c>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row>
    <row r="185" spans="2:69" x14ac:dyDescent="0.2">
      <c r="B185" s="69">
        <f t="shared" si="133"/>
        <v>1</v>
      </c>
      <c r="C185" s="69">
        <f t="shared" si="128"/>
        <v>13</v>
      </c>
      <c r="D185" s="69" t="str">
        <f>D184</f>
        <v>SCE&amp;G</v>
      </c>
      <c r="F185" s="70">
        <v>2012</v>
      </c>
      <c r="G185" s="372">
        <v>750.3</v>
      </c>
      <c r="H185" s="372"/>
      <c r="I185" s="372"/>
      <c r="J185" s="76">
        <f t="shared" si="130"/>
        <v>0.11450442653988632</v>
      </c>
      <c r="K185" s="71"/>
      <c r="L185" s="71"/>
      <c r="M185" s="71"/>
      <c r="N185" s="71"/>
      <c r="O185" s="372">
        <v>7009.2767700000004</v>
      </c>
      <c r="P185" s="76">
        <f>O185/$O$224</f>
        <v>8.4950988223876107E-3</v>
      </c>
      <c r="Q185" s="76"/>
      <c r="R185" s="372">
        <v>752595</v>
      </c>
      <c r="S185" s="372"/>
      <c r="T185" s="372">
        <v>766266</v>
      </c>
      <c r="U185" s="427">
        <f t="shared" si="109"/>
        <v>-13671</v>
      </c>
      <c r="V185" s="112">
        <f t="shared" si="110"/>
        <v>-1.8165148585892812E-2</v>
      </c>
      <c r="W185" s="372">
        <v>4825.4885870306171</v>
      </c>
      <c r="X185" s="71">
        <f t="shared" si="131"/>
        <v>-2183.7881829693833</v>
      </c>
      <c r="Y185" s="76">
        <f>AVERAGE($Y$176:$Y$180,$Y$182:$Y$183)</f>
        <v>0.44666486599078531</v>
      </c>
      <c r="Z185" s="76">
        <f t="shared" si="136"/>
        <v>0.55333513400921475</v>
      </c>
      <c r="AA185" s="126">
        <f t="shared" si="132"/>
        <v>0</v>
      </c>
      <c r="AB185" s="126">
        <f t="shared" si="137"/>
        <v>0.55333513400921475</v>
      </c>
      <c r="AC185" s="126">
        <f t="shared" si="137"/>
        <v>-0.55333513400921475</v>
      </c>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row>
    <row r="186" spans="2:69" x14ac:dyDescent="0.2">
      <c r="B186" s="69">
        <f t="shared" si="133"/>
        <v>1</v>
      </c>
      <c r="C186" s="69">
        <f t="shared" si="128"/>
        <v>13</v>
      </c>
      <c r="D186" s="69" t="str">
        <f>D185</f>
        <v>SCE&amp;G</v>
      </c>
      <c r="F186" s="70">
        <v>2013</v>
      </c>
      <c r="G186" s="372">
        <v>750.3</v>
      </c>
      <c r="H186" s="372"/>
      <c r="I186" s="372"/>
      <c r="J186" s="76">
        <f t="shared" si="130"/>
        <v>0.12312015832936232</v>
      </c>
      <c r="K186" s="69"/>
      <c r="L186" s="69"/>
      <c r="M186" s="69"/>
      <c r="N186" s="69"/>
      <c r="O186" s="372">
        <v>7537.7782499999994</v>
      </c>
      <c r="P186" s="76">
        <f>O186/$O$225</f>
        <v>8.9528452683507193E-3</v>
      </c>
      <c r="Q186" s="69"/>
      <c r="R186" s="372">
        <v>809223</v>
      </c>
      <c r="S186" s="372"/>
      <c r="T186" s="372">
        <v>832363</v>
      </c>
      <c r="U186" s="427">
        <f t="shared" si="109"/>
        <v>-23140</v>
      </c>
      <c r="V186" s="112">
        <f t="shared" si="110"/>
        <v>-2.8595331571149116E-2</v>
      </c>
      <c r="W186" s="372">
        <v>15565.697534817702</v>
      </c>
      <c r="X186" s="71">
        <f>W186-O186</f>
        <v>8027.9192848177026</v>
      </c>
      <c r="Y186" s="76">
        <f>X186/W186</f>
        <v>0.51574426824500941</v>
      </c>
      <c r="Z186" s="76">
        <f>1-Y186</f>
        <v>0.48425573175499059</v>
      </c>
      <c r="AA186" s="126">
        <f>Z186*Q186</f>
        <v>0</v>
      </c>
      <c r="AB186" s="126">
        <f t="shared" ref="AB186:AC188" si="138">Z186-AA186</f>
        <v>0.48425573175499059</v>
      </c>
      <c r="AC186" s="126">
        <f t="shared" si="138"/>
        <v>-0.48425573175499059</v>
      </c>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c r="BI186" s="240"/>
      <c r="BJ186" s="240"/>
      <c r="BK186" s="240"/>
      <c r="BL186" s="240"/>
      <c r="BM186" s="240"/>
      <c r="BN186" s="240"/>
      <c r="BO186" s="240"/>
      <c r="BP186" s="240"/>
      <c r="BQ186" s="240"/>
    </row>
    <row r="187" spans="2:69" x14ac:dyDescent="0.2">
      <c r="B187" s="69">
        <f t="shared" si="133"/>
        <v>1</v>
      </c>
      <c r="C187" s="69">
        <f t="shared" si="128"/>
        <v>13</v>
      </c>
      <c r="D187" s="69" t="str">
        <f>D186</f>
        <v>SCE&amp;G</v>
      </c>
      <c r="F187" s="70">
        <v>2014</v>
      </c>
      <c r="G187" s="372">
        <v>750.66</v>
      </c>
      <c r="H187" s="372"/>
      <c r="I187" s="372"/>
      <c r="J187" s="76">
        <f t="shared" si="130"/>
        <v>9.3299935630465597E-2</v>
      </c>
      <c r="K187" s="69"/>
      <c r="L187" s="69"/>
      <c r="M187" s="69"/>
      <c r="N187" s="69"/>
      <c r="O187" s="372">
        <v>7830.4518299999991</v>
      </c>
      <c r="P187" s="76">
        <f>O187/$O$226</f>
        <v>9.0490230485918248E-3</v>
      </c>
      <c r="Q187" s="69"/>
      <c r="R187" s="372">
        <v>613520</v>
      </c>
      <c r="S187" s="372"/>
      <c r="T187" s="372">
        <v>633826</v>
      </c>
      <c r="U187" s="427">
        <f t="shared" si="109"/>
        <v>-20306</v>
      </c>
      <c r="V187" s="112">
        <f t="shared" si="110"/>
        <v>-3.3097535532663973E-2</v>
      </c>
      <c r="W187" s="372">
        <v>14944.725632175001</v>
      </c>
      <c r="X187" s="71">
        <f>W187-O187</f>
        <v>7114.2738021750019</v>
      </c>
      <c r="Y187" s="76">
        <f>X187/W187</f>
        <v>0.4760391041812399</v>
      </c>
      <c r="Z187" s="76">
        <f>1-Y187</f>
        <v>0.52396089581876004</v>
      </c>
      <c r="AA187" s="126">
        <f>Z187*Q187</f>
        <v>0</v>
      </c>
      <c r="AB187" s="126">
        <f t="shared" si="138"/>
        <v>0.52396089581876004</v>
      </c>
      <c r="AC187" s="126">
        <f t="shared" si="138"/>
        <v>-0.52396089581876004</v>
      </c>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row>
    <row r="188" spans="2:69" x14ac:dyDescent="0.2">
      <c r="B188" s="72">
        <f>'OPG hydro peers'!B19</f>
        <v>1</v>
      </c>
      <c r="C188" s="72">
        <f t="shared" si="128"/>
        <v>14</v>
      </c>
      <c r="D188" s="72" t="str">
        <f>'OPG hydro peers'!D19</f>
        <v>SEPA</v>
      </c>
      <c r="F188" s="73">
        <v>2002</v>
      </c>
      <c r="G188" s="374">
        <v>3412</v>
      </c>
      <c r="H188" s="374"/>
      <c r="I188" s="374"/>
      <c r="J188" s="75">
        <f>R188/(G188*8760)</f>
        <v>0.17938771700203954</v>
      </c>
      <c r="K188" s="127"/>
      <c r="L188" s="127"/>
      <c r="M188" s="127"/>
      <c r="N188" s="127"/>
      <c r="O188" s="373">
        <v>71519.58</v>
      </c>
      <c r="P188" s="75">
        <f>O188/$O$214</f>
        <v>0.13823000662654905</v>
      </c>
      <c r="Q188" s="75"/>
      <c r="R188" s="374">
        <v>5361741</v>
      </c>
      <c r="S188" s="374"/>
      <c r="T188" s="374"/>
      <c r="U188" s="374"/>
      <c r="V188" s="374"/>
      <c r="W188" s="373">
        <v>165323.07</v>
      </c>
      <c r="X188" s="127">
        <f t="shared" ref="X188:X198" si="139">W188-O188</f>
        <v>93803.49</v>
      </c>
      <c r="Y188" s="75">
        <f>X188/W188</f>
        <v>0.56739504051068013</v>
      </c>
      <c r="Z188" s="75">
        <f>1-Y188</f>
        <v>0.43260495948931987</v>
      </c>
      <c r="AA188" s="125">
        <f t="shared" ref="AA188:AA198" si="140">Z188*Q188</f>
        <v>0</v>
      </c>
      <c r="AB188" s="125">
        <f t="shared" si="138"/>
        <v>0.43260495948931987</v>
      </c>
      <c r="AC188" s="125">
        <f t="shared" si="138"/>
        <v>-0.43260495948931987</v>
      </c>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c r="BK188" s="240"/>
      <c r="BL188" s="240"/>
      <c r="BM188" s="240"/>
      <c r="BN188" s="240"/>
      <c r="BO188" s="240"/>
      <c r="BP188" s="240"/>
      <c r="BQ188" s="240"/>
    </row>
    <row r="189" spans="2:69" x14ac:dyDescent="0.2">
      <c r="B189" s="72">
        <f t="shared" ref="B189:D196" si="141">B188</f>
        <v>1</v>
      </c>
      <c r="C189" s="72">
        <f t="shared" si="128"/>
        <v>14</v>
      </c>
      <c r="D189" s="72" t="str">
        <f t="shared" si="141"/>
        <v>SEPA</v>
      </c>
      <c r="F189" s="73">
        <v>2003</v>
      </c>
      <c r="G189" s="374">
        <v>3412</v>
      </c>
      <c r="H189" s="374"/>
      <c r="I189" s="374"/>
      <c r="J189" s="75">
        <f t="shared" ref="J189:J200" si="142">R189/(G189*8760)</f>
        <v>0.31167187257436818</v>
      </c>
      <c r="K189" s="127"/>
      <c r="L189" s="127"/>
      <c r="M189" s="127"/>
      <c r="N189" s="127"/>
      <c r="O189" s="373">
        <v>82754.399999999994</v>
      </c>
      <c r="P189" s="75">
        <f>O189/$O$215</f>
        <v>0.14755369850911423</v>
      </c>
      <c r="Q189" s="75"/>
      <c r="R189" s="374">
        <v>9315598</v>
      </c>
      <c r="S189" s="374"/>
      <c r="T189" s="374"/>
      <c r="U189" s="374"/>
      <c r="V189" s="374"/>
      <c r="W189" s="373">
        <v>211791.24</v>
      </c>
      <c r="X189" s="127">
        <f t="shared" si="139"/>
        <v>129036.84</v>
      </c>
      <c r="Y189" s="75">
        <f t="shared" ref="Y189:Y198" si="143">X189/W189</f>
        <v>0.60926429251748093</v>
      </c>
      <c r="Z189" s="75">
        <f t="shared" ref="Z189:Z198" si="144">1-Y189</f>
        <v>0.39073570748251907</v>
      </c>
      <c r="AA189" s="125">
        <f t="shared" si="140"/>
        <v>0</v>
      </c>
      <c r="AB189" s="125">
        <f t="shared" ref="AB189:AB198" si="145">Z189-AA189</f>
        <v>0.39073570748251907</v>
      </c>
      <c r="AC189" s="125">
        <f t="shared" ref="AC189:AC198" si="146">AA189-AB189</f>
        <v>-0.39073570748251907</v>
      </c>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c r="BK189" s="240"/>
      <c r="BL189" s="240"/>
      <c r="BM189" s="240"/>
      <c r="BN189" s="240"/>
      <c r="BO189" s="240"/>
      <c r="BP189" s="240"/>
      <c r="BQ189" s="240"/>
    </row>
    <row r="190" spans="2:69" x14ac:dyDescent="0.2">
      <c r="B190" s="72">
        <f t="shared" si="141"/>
        <v>1</v>
      </c>
      <c r="C190" s="72">
        <f t="shared" si="128"/>
        <v>14</v>
      </c>
      <c r="D190" s="72" t="str">
        <f t="shared" si="141"/>
        <v>SEPA</v>
      </c>
      <c r="F190" s="73">
        <v>2004</v>
      </c>
      <c r="G190" s="374">
        <v>3412</v>
      </c>
      <c r="H190" s="374"/>
      <c r="I190" s="374"/>
      <c r="J190" s="75">
        <f t="shared" si="142"/>
        <v>0.27881433110108295</v>
      </c>
      <c r="K190" s="127"/>
      <c r="L190" s="127"/>
      <c r="M190" s="127"/>
      <c r="N190" s="127"/>
      <c r="O190" s="373">
        <v>84330.03</v>
      </c>
      <c r="P190" s="75">
        <f>O190/$O$216</f>
        <v>0.14039035298083</v>
      </c>
      <c r="Q190" s="75"/>
      <c r="R190" s="374">
        <v>8333515</v>
      </c>
      <c r="S190" s="374"/>
      <c r="T190" s="374"/>
      <c r="U190" s="374"/>
      <c r="V190" s="374"/>
      <c r="W190" s="373">
        <v>239578.16999999998</v>
      </c>
      <c r="X190" s="127">
        <f t="shared" si="139"/>
        <v>155248.13999999998</v>
      </c>
      <c r="Y190" s="75">
        <f t="shared" si="143"/>
        <v>0.64800620190061553</v>
      </c>
      <c r="Z190" s="75">
        <f t="shared" si="144"/>
        <v>0.35199379809938447</v>
      </c>
      <c r="AA190" s="125">
        <f t="shared" si="140"/>
        <v>0</v>
      </c>
      <c r="AB190" s="125">
        <f t="shared" si="145"/>
        <v>0.35199379809938447</v>
      </c>
      <c r="AC190" s="125">
        <f t="shared" si="146"/>
        <v>-0.35199379809938447</v>
      </c>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row>
    <row r="191" spans="2:69" x14ac:dyDescent="0.2">
      <c r="B191" s="72">
        <f t="shared" si="141"/>
        <v>1</v>
      </c>
      <c r="C191" s="72">
        <f t="shared" si="128"/>
        <v>14</v>
      </c>
      <c r="D191" s="72" t="str">
        <f t="shared" si="141"/>
        <v>SEPA</v>
      </c>
      <c r="F191" s="73">
        <v>2005</v>
      </c>
      <c r="G191" s="374">
        <v>3392</v>
      </c>
      <c r="H191" s="374"/>
      <c r="I191" s="374"/>
      <c r="J191" s="75">
        <f t="shared" si="142"/>
        <v>0.3117265241341432</v>
      </c>
      <c r="K191" s="127"/>
      <c r="L191" s="127"/>
      <c r="M191" s="127"/>
      <c r="N191" s="127"/>
      <c r="O191" s="373">
        <v>83637.539999999994</v>
      </c>
      <c r="P191" s="75">
        <f>O191/$O$217</f>
        <v>0.13388800281926147</v>
      </c>
      <c r="Q191" s="75"/>
      <c r="R191" s="374">
        <v>9262617</v>
      </c>
      <c r="S191" s="374"/>
      <c r="T191" s="374"/>
      <c r="U191" s="374"/>
      <c r="V191" s="374"/>
      <c r="W191" s="373">
        <v>246161.13</v>
      </c>
      <c r="X191" s="127">
        <f t="shared" si="139"/>
        <v>162523.59000000003</v>
      </c>
      <c r="Y191" s="75">
        <f t="shared" si="143"/>
        <v>0.66023254768126882</v>
      </c>
      <c r="Z191" s="75">
        <f t="shared" si="144"/>
        <v>0.33976745231873118</v>
      </c>
      <c r="AA191" s="125">
        <f t="shared" si="140"/>
        <v>0</v>
      </c>
      <c r="AB191" s="125">
        <f t="shared" si="145"/>
        <v>0.33976745231873118</v>
      </c>
      <c r="AC191" s="125">
        <f t="shared" si="146"/>
        <v>-0.33976745231873118</v>
      </c>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c r="BK191" s="240"/>
      <c r="BL191" s="240"/>
      <c r="BM191" s="240"/>
      <c r="BN191" s="240"/>
      <c r="BO191" s="240"/>
      <c r="BP191" s="240"/>
      <c r="BQ191" s="240"/>
    </row>
    <row r="192" spans="2:69" x14ac:dyDescent="0.2">
      <c r="B192" s="72">
        <f t="shared" si="141"/>
        <v>1</v>
      </c>
      <c r="C192" s="72">
        <f t="shared" si="128"/>
        <v>14</v>
      </c>
      <c r="D192" s="72" t="str">
        <f t="shared" si="141"/>
        <v>SEPA</v>
      </c>
      <c r="F192" s="73">
        <v>2006</v>
      </c>
      <c r="G192" s="374">
        <v>3392</v>
      </c>
      <c r="H192" s="374"/>
      <c r="I192" s="374"/>
      <c r="J192" s="75">
        <f t="shared" si="142"/>
        <v>0.190244841474972</v>
      </c>
      <c r="K192" s="127"/>
      <c r="L192" s="127"/>
      <c r="M192" s="127"/>
      <c r="N192" s="127"/>
      <c r="O192" s="373">
        <v>108053.04</v>
      </c>
      <c r="P192" s="75">
        <f>O192/$O$218</f>
        <v>0.16262451537958073</v>
      </c>
      <c r="Q192" s="75"/>
      <c r="R192" s="374">
        <v>5652920</v>
      </c>
      <c r="S192" s="374"/>
      <c r="T192" s="374"/>
      <c r="U192" s="374"/>
      <c r="V192" s="374"/>
      <c r="W192" s="373">
        <v>219526.71</v>
      </c>
      <c r="X192" s="127">
        <f t="shared" si="139"/>
        <v>111473.67</v>
      </c>
      <c r="Y192" s="75">
        <f t="shared" si="143"/>
        <v>0.50779091983841051</v>
      </c>
      <c r="Z192" s="75">
        <f t="shared" si="144"/>
        <v>0.49220908016158949</v>
      </c>
      <c r="AA192" s="125">
        <f t="shared" si="140"/>
        <v>0</v>
      </c>
      <c r="AB192" s="125">
        <f t="shared" si="145"/>
        <v>0.49220908016158949</v>
      </c>
      <c r="AC192" s="125">
        <f t="shared" si="146"/>
        <v>-0.49220908016158949</v>
      </c>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row>
    <row r="193" spans="2:69" x14ac:dyDescent="0.2">
      <c r="B193" s="72">
        <f t="shared" si="141"/>
        <v>1</v>
      </c>
      <c r="C193" s="72">
        <f t="shared" si="128"/>
        <v>14</v>
      </c>
      <c r="D193" s="72" t="str">
        <f t="shared" si="141"/>
        <v>SEPA</v>
      </c>
      <c r="F193" s="73">
        <v>2007</v>
      </c>
      <c r="G193" s="374">
        <v>3392</v>
      </c>
      <c r="H193" s="374"/>
      <c r="I193" s="374"/>
      <c r="J193" s="75">
        <f t="shared" si="142"/>
        <v>0.17611237426768331</v>
      </c>
      <c r="K193" s="127"/>
      <c r="L193" s="127"/>
      <c r="M193" s="127"/>
      <c r="N193" s="127"/>
      <c r="O193" s="373">
        <v>96188.459999999992</v>
      </c>
      <c r="P193" s="75">
        <f>O193/$O$219</f>
        <v>0.13335934890951762</v>
      </c>
      <c r="Q193" s="75"/>
      <c r="R193" s="374">
        <v>5232989</v>
      </c>
      <c r="S193" s="374"/>
      <c r="T193" s="374"/>
      <c r="U193" s="374"/>
      <c r="V193" s="374"/>
      <c r="W193" s="373">
        <v>216467.69999999998</v>
      </c>
      <c r="X193" s="127">
        <f t="shared" si="139"/>
        <v>120279.23999999999</v>
      </c>
      <c r="Y193" s="75">
        <f t="shared" si="143"/>
        <v>0.55564520711404053</v>
      </c>
      <c r="Z193" s="75">
        <f t="shared" si="144"/>
        <v>0.44435479288595947</v>
      </c>
      <c r="AA193" s="125">
        <f t="shared" si="140"/>
        <v>0</v>
      </c>
      <c r="AB193" s="125">
        <f t="shared" si="145"/>
        <v>0.44435479288595947</v>
      </c>
      <c r="AC193" s="125">
        <f t="shared" si="146"/>
        <v>-0.44435479288595947</v>
      </c>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c r="BH193" s="240"/>
      <c r="BI193" s="240"/>
      <c r="BJ193" s="240"/>
      <c r="BK193" s="240"/>
      <c r="BL193" s="240"/>
      <c r="BM193" s="240"/>
      <c r="BN193" s="240"/>
      <c r="BO193" s="240"/>
      <c r="BP193" s="240"/>
      <c r="BQ193" s="240"/>
    </row>
    <row r="194" spans="2:69" x14ac:dyDescent="0.2">
      <c r="B194" s="72">
        <f t="shared" si="141"/>
        <v>1</v>
      </c>
      <c r="C194" s="72">
        <f t="shared" si="128"/>
        <v>14</v>
      </c>
      <c r="D194" s="72" t="str">
        <f t="shared" si="141"/>
        <v>SEPA</v>
      </c>
      <c r="F194" s="73">
        <v>2008</v>
      </c>
      <c r="G194" s="374">
        <v>3392</v>
      </c>
      <c r="H194" s="374"/>
      <c r="I194" s="374"/>
      <c r="J194" s="75">
        <f t="shared" si="142"/>
        <v>0.14885000026923409</v>
      </c>
      <c r="K194" s="127"/>
      <c r="L194" s="127"/>
      <c r="M194" s="127"/>
      <c r="N194" s="127"/>
      <c r="O194" s="373">
        <v>99695.19</v>
      </c>
      <c r="P194" s="75">
        <f>O194/$O$220</f>
        <v>0.12754487914107107</v>
      </c>
      <c r="Q194" s="75"/>
      <c r="R194" s="374">
        <v>4422917</v>
      </c>
      <c r="S194" s="374"/>
      <c r="T194" s="374"/>
      <c r="U194" s="374"/>
      <c r="V194" s="374"/>
      <c r="W194" s="373">
        <v>230546.28</v>
      </c>
      <c r="X194" s="127">
        <f t="shared" si="139"/>
        <v>130851.09</v>
      </c>
      <c r="Y194" s="75">
        <f t="shared" si="143"/>
        <v>0.56756973046799974</v>
      </c>
      <c r="Z194" s="75">
        <f t="shared" si="144"/>
        <v>0.43243026953200026</v>
      </c>
      <c r="AA194" s="125">
        <f t="shared" si="140"/>
        <v>0</v>
      </c>
      <c r="AB194" s="125">
        <f t="shared" si="145"/>
        <v>0.43243026953200026</v>
      </c>
      <c r="AC194" s="125">
        <f t="shared" si="146"/>
        <v>-0.43243026953200026</v>
      </c>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c r="BI194" s="240"/>
      <c r="BJ194" s="240"/>
      <c r="BK194" s="240"/>
      <c r="BL194" s="240"/>
      <c r="BM194" s="240"/>
      <c r="BN194" s="240"/>
      <c r="BO194" s="240"/>
      <c r="BP194" s="240"/>
      <c r="BQ194" s="240"/>
    </row>
    <row r="195" spans="2:69" x14ac:dyDescent="0.2">
      <c r="B195" s="72">
        <f t="shared" si="141"/>
        <v>1</v>
      </c>
      <c r="C195" s="72">
        <f t="shared" si="128"/>
        <v>14</v>
      </c>
      <c r="D195" s="72" t="str">
        <f t="shared" si="141"/>
        <v>SEPA</v>
      </c>
      <c r="F195" s="73">
        <v>2009</v>
      </c>
      <c r="G195" s="374">
        <v>3392</v>
      </c>
      <c r="H195" s="374"/>
      <c r="I195" s="374"/>
      <c r="J195" s="75">
        <f t="shared" si="142"/>
        <v>0.20646986328293271</v>
      </c>
      <c r="K195" s="127"/>
      <c r="L195" s="127"/>
      <c r="M195" s="127"/>
      <c r="N195" s="127"/>
      <c r="O195" s="373">
        <v>111926.31</v>
      </c>
      <c r="P195" s="75">
        <f>O195/$O$221</f>
        <v>0.14316977144300402</v>
      </c>
      <c r="Q195" s="75"/>
      <c r="R195" s="374">
        <v>6135029</v>
      </c>
      <c r="S195" s="374"/>
      <c r="T195" s="374"/>
      <c r="U195" s="374"/>
      <c r="V195" s="374"/>
      <c r="W195" s="373">
        <v>236135.4</v>
      </c>
      <c r="X195" s="127">
        <f t="shared" si="139"/>
        <v>124209.09</v>
      </c>
      <c r="Y195" s="75">
        <f t="shared" si="143"/>
        <v>0.52600791749140541</v>
      </c>
      <c r="Z195" s="75">
        <f t="shared" si="144"/>
        <v>0.47399208250859459</v>
      </c>
      <c r="AA195" s="125">
        <f t="shared" si="140"/>
        <v>0</v>
      </c>
      <c r="AB195" s="125">
        <f t="shared" si="145"/>
        <v>0.47399208250859459</v>
      </c>
      <c r="AC195" s="125">
        <f t="shared" si="146"/>
        <v>-0.47399208250859459</v>
      </c>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c r="BI195" s="240"/>
      <c r="BJ195" s="240"/>
      <c r="BK195" s="240"/>
      <c r="BL195" s="240"/>
      <c r="BM195" s="240"/>
      <c r="BN195" s="240"/>
      <c r="BO195" s="240"/>
      <c r="BP195" s="240"/>
      <c r="BQ195" s="240"/>
    </row>
    <row r="196" spans="2:69" x14ac:dyDescent="0.2">
      <c r="B196" s="72">
        <f t="shared" si="141"/>
        <v>1</v>
      </c>
      <c r="C196" s="72">
        <f t="shared" si="128"/>
        <v>14</v>
      </c>
      <c r="D196" s="72" t="str">
        <f t="shared" si="141"/>
        <v>SEPA</v>
      </c>
      <c r="F196" s="73">
        <v>2010</v>
      </c>
      <c r="G196" s="374">
        <v>3392</v>
      </c>
      <c r="H196" s="374"/>
      <c r="I196" s="374"/>
      <c r="J196" s="75">
        <f t="shared" si="142"/>
        <v>0.27678966625743084</v>
      </c>
      <c r="K196" s="127"/>
      <c r="L196" s="127"/>
      <c r="M196" s="127"/>
      <c r="N196" s="127"/>
      <c r="O196" s="373">
        <v>150046.47</v>
      </c>
      <c r="P196" s="75">
        <f>O196/$O$222</f>
        <v>0.17855116860748602</v>
      </c>
      <c r="Q196" s="75"/>
      <c r="R196" s="374">
        <v>8224506</v>
      </c>
      <c r="S196" s="374"/>
      <c r="T196" s="374"/>
      <c r="U196" s="374"/>
      <c r="V196" s="374"/>
      <c r="W196" s="373">
        <v>255416.88</v>
      </c>
      <c r="X196" s="127">
        <f t="shared" si="139"/>
        <v>105370.41</v>
      </c>
      <c r="Y196" s="75">
        <f t="shared" si="143"/>
        <v>0.41254285934430018</v>
      </c>
      <c r="Z196" s="75">
        <f t="shared" si="144"/>
        <v>0.58745714065569987</v>
      </c>
      <c r="AA196" s="125">
        <f t="shared" si="140"/>
        <v>0</v>
      </c>
      <c r="AB196" s="125">
        <f t="shared" si="145"/>
        <v>0.58745714065569987</v>
      </c>
      <c r="AC196" s="125">
        <f t="shared" si="146"/>
        <v>-0.58745714065569987</v>
      </c>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c r="BI196" s="240"/>
      <c r="BJ196" s="240"/>
      <c r="BK196" s="240"/>
      <c r="BL196" s="240"/>
      <c r="BM196" s="240"/>
      <c r="BN196" s="240"/>
      <c r="BO196" s="240"/>
      <c r="BP196" s="240"/>
      <c r="BQ196" s="240"/>
    </row>
    <row r="197" spans="2:69" x14ac:dyDescent="0.2">
      <c r="B197" s="72">
        <f t="shared" ref="B197:D200" si="147">B196</f>
        <v>1</v>
      </c>
      <c r="C197" s="72">
        <f t="shared" si="128"/>
        <v>14</v>
      </c>
      <c r="D197" s="72" t="str">
        <f t="shared" si="147"/>
        <v>SEPA</v>
      </c>
      <c r="F197" s="73">
        <v>2011</v>
      </c>
      <c r="G197" s="374">
        <v>3392</v>
      </c>
      <c r="H197" s="374"/>
      <c r="I197" s="374"/>
      <c r="J197" s="75">
        <f t="shared" si="142"/>
        <v>0.21911272561816145</v>
      </c>
      <c r="K197" s="127"/>
      <c r="L197" s="127"/>
      <c r="M197" s="127"/>
      <c r="N197" s="127"/>
      <c r="O197" s="373">
        <v>128499.33</v>
      </c>
      <c r="P197" s="75">
        <f>O197/$O$223</f>
        <v>0.15789751578865532</v>
      </c>
      <c r="Q197" s="75"/>
      <c r="R197" s="374">
        <v>6510698</v>
      </c>
      <c r="S197" s="374"/>
      <c r="T197" s="374"/>
      <c r="U197" s="374"/>
      <c r="V197" s="374"/>
      <c r="W197" s="373">
        <v>274686.06</v>
      </c>
      <c r="X197" s="127">
        <f t="shared" si="139"/>
        <v>146186.72999999998</v>
      </c>
      <c r="Y197" s="75">
        <f t="shared" si="143"/>
        <v>0.53219566366054394</v>
      </c>
      <c r="Z197" s="75">
        <f t="shared" si="144"/>
        <v>0.46780433633945606</v>
      </c>
      <c r="AA197" s="125">
        <f t="shared" si="140"/>
        <v>0</v>
      </c>
      <c r="AB197" s="125">
        <f t="shared" si="145"/>
        <v>0.46780433633945606</v>
      </c>
      <c r="AC197" s="125">
        <f t="shared" si="146"/>
        <v>-0.46780433633945606</v>
      </c>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c r="BI197" s="240"/>
      <c r="BJ197" s="240"/>
      <c r="BK197" s="240"/>
      <c r="BL197" s="240"/>
      <c r="BM197" s="240"/>
      <c r="BN197" s="240"/>
      <c r="BO197" s="240"/>
      <c r="BP197" s="240"/>
      <c r="BQ197" s="240"/>
    </row>
    <row r="198" spans="2:69" x14ac:dyDescent="0.2">
      <c r="B198" s="72">
        <f t="shared" si="147"/>
        <v>1</v>
      </c>
      <c r="C198" s="72">
        <f t="shared" si="128"/>
        <v>14</v>
      </c>
      <c r="D198" s="72" t="str">
        <f t="shared" si="147"/>
        <v>SEPA</v>
      </c>
      <c r="F198" s="73">
        <v>2012</v>
      </c>
      <c r="G198" s="374">
        <v>3392</v>
      </c>
      <c r="H198" s="374"/>
      <c r="I198" s="374"/>
      <c r="J198" s="75">
        <f t="shared" si="142"/>
        <v>0.18907545689023864</v>
      </c>
      <c r="K198" s="127"/>
      <c r="L198" s="127"/>
      <c r="M198" s="127"/>
      <c r="N198" s="127"/>
      <c r="O198" s="373">
        <v>122088.56999999999</v>
      </c>
      <c r="P198" s="75">
        <f>O198/$O$224</f>
        <v>0.14796882777878767</v>
      </c>
      <c r="Q198" s="75"/>
      <c r="R198" s="374">
        <v>5618173</v>
      </c>
      <c r="S198" s="374"/>
      <c r="T198" s="374"/>
      <c r="U198" s="374"/>
      <c r="V198" s="374"/>
      <c r="W198" s="373">
        <v>267661.52999999997</v>
      </c>
      <c r="X198" s="127">
        <f t="shared" si="139"/>
        <v>145572.95999999996</v>
      </c>
      <c r="Y198" s="75">
        <f t="shared" si="143"/>
        <v>0.54386956541718934</v>
      </c>
      <c r="Z198" s="75">
        <f t="shared" si="144"/>
        <v>0.45613043458281066</v>
      </c>
      <c r="AA198" s="125">
        <f t="shared" si="140"/>
        <v>0</v>
      </c>
      <c r="AB198" s="125">
        <f t="shared" si="145"/>
        <v>0.45613043458281066</v>
      </c>
      <c r="AC198" s="125">
        <f t="shared" si="146"/>
        <v>-0.45613043458281066</v>
      </c>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c r="BK198" s="240"/>
      <c r="BL198" s="240"/>
      <c r="BM198" s="240"/>
      <c r="BN198" s="240"/>
      <c r="BO198" s="240"/>
      <c r="BP198" s="240"/>
      <c r="BQ198" s="240"/>
    </row>
    <row r="199" spans="2:69" x14ac:dyDescent="0.2">
      <c r="B199" s="72">
        <f t="shared" si="147"/>
        <v>1</v>
      </c>
      <c r="C199" s="72">
        <f t="shared" si="128"/>
        <v>14</v>
      </c>
      <c r="D199" s="72" t="str">
        <f t="shared" si="147"/>
        <v>SEPA</v>
      </c>
      <c r="F199" s="73">
        <v>2013</v>
      </c>
      <c r="G199" s="374">
        <v>3392</v>
      </c>
      <c r="H199" s="374"/>
      <c r="I199" s="374"/>
      <c r="J199" s="75">
        <f t="shared" si="142"/>
        <v>0.25776417248212286</v>
      </c>
      <c r="K199" s="127"/>
      <c r="L199" s="127"/>
      <c r="M199" s="127"/>
      <c r="N199" s="127"/>
      <c r="O199" s="373">
        <v>114310.05</v>
      </c>
      <c r="P199" s="75">
        <f>O199/$O$225</f>
        <v>0.1357694742834116</v>
      </c>
      <c r="Q199" s="72"/>
      <c r="R199" s="374">
        <v>7659184</v>
      </c>
      <c r="S199" s="374"/>
      <c r="T199" s="374"/>
      <c r="U199" s="374"/>
      <c r="V199" s="374"/>
      <c r="W199" s="373">
        <v>317460.52429290005</v>
      </c>
      <c r="X199" s="127">
        <f>W199-O200</f>
        <v>193084.15429290006</v>
      </c>
      <c r="Y199" s="75">
        <f>X199/W199</f>
        <v>0.60821468975699777</v>
      </c>
      <c r="Z199" s="75">
        <f>1-Y199</f>
        <v>0.39178531024300223</v>
      </c>
      <c r="AA199" s="125">
        <f>Z199*Q199</f>
        <v>0</v>
      </c>
      <c r="AB199" s="125">
        <f t="shared" ref="AB199:AC201" si="148">Z199-AA199</f>
        <v>0.39178531024300223</v>
      </c>
      <c r="AC199" s="125">
        <f t="shared" si="148"/>
        <v>-0.39178531024300223</v>
      </c>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c r="BI199" s="240"/>
      <c r="BJ199" s="240"/>
      <c r="BK199" s="240"/>
      <c r="BL199" s="240"/>
      <c r="BM199" s="240"/>
      <c r="BN199" s="240"/>
      <c r="BO199" s="240"/>
      <c r="BP199" s="240"/>
      <c r="BQ199" s="240"/>
    </row>
    <row r="200" spans="2:69" x14ac:dyDescent="0.2">
      <c r="B200" s="72">
        <f t="shared" si="147"/>
        <v>1</v>
      </c>
      <c r="C200" s="72">
        <f t="shared" si="128"/>
        <v>14</v>
      </c>
      <c r="D200" s="72" t="str">
        <f t="shared" si="147"/>
        <v>SEPA</v>
      </c>
      <c r="F200" s="73">
        <v>2014</v>
      </c>
      <c r="G200" s="374">
        <v>3392</v>
      </c>
      <c r="H200" s="374"/>
      <c r="I200" s="374"/>
      <c r="J200" s="75">
        <f t="shared" si="142"/>
        <v>0.24900201656328078</v>
      </c>
      <c r="K200" s="127"/>
      <c r="L200" s="127"/>
      <c r="M200" s="127"/>
      <c r="N200" s="127"/>
      <c r="O200" s="373">
        <v>124376.37</v>
      </c>
      <c r="P200" s="75">
        <f>O200/$O$226</f>
        <v>0.1437317620061504</v>
      </c>
      <c r="Q200" s="72"/>
      <c r="R200" s="374">
        <v>7398826</v>
      </c>
      <c r="S200" s="374"/>
      <c r="T200" s="374"/>
      <c r="U200" s="374"/>
      <c r="V200" s="374"/>
      <c r="W200" s="373">
        <v>312081.49910792091</v>
      </c>
      <c r="X200" s="127">
        <f>W200-O199</f>
        <v>197771.44910792093</v>
      </c>
      <c r="Y200" s="75">
        <f>X200/W200</f>
        <v>0.63371731318020097</v>
      </c>
      <c r="Z200" s="75">
        <f>1-Y200</f>
        <v>0.36628268681979903</v>
      </c>
      <c r="AA200" s="125">
        <f>Z200*Q200</f>
        <v>0</v>
      </c>
      <c r="AB200" s="125">
        <f t="shared" si="148"/>
        <v>0.36628268681979903</v>
      </c>
      <c r="AC200" s="125">
        <f t="shared" si="148"/>
        <v>-0.36628268681979903</v>
      </c>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c r="BI200" s="240"/>
      <c r="BJ200" s="240"/>
      <c r="BK200" s="240"/>
      <c r="BL200" s="240"/>
      <c r="BM200" s="240"/>
      <c r="BN200" s="240"/>
      <c r="BO200" s="240"/>
      <c r="BP200" s="240"/>
      <c r="BQ200" s="240"/>
    </row>
    <row r="201" spans="2:69" x14ac:dyDescent="0.2">
      <c r="B201" s="69">
        <f>'OPG hydro peers'!B20</f>
        <v>1</v>
      </c>
      <c r="C201" s="69">
        <f t="shared" si="128"/>
        <v>15</v>
      </c>
      <c r="D201" s="69" t="str">
        <f>'OPG hydro peers'!D20</f>
        <v>Seattle</v>
      </c>
      <c r="F201" s="70">
        <v>2002</v>
      </c>
      <c r="G201" s="372">
        <v>1928.7</v>
      </c>
      <c r="H201" s="372"/>
      <c r="I201" s="372"/>
      <c r="J201" s="76">
        <f>R201/(G201*8760)</f>
        <v>0.40790121010366603</v>
      </c>
      <c r="K201" s="71"/>
      <c r="L201" s="71"/>
      <c r="M201" s="71"/>
      <c r="N201" s="71"/>
      <c r="O201" s="372">
        <v>22811.579999999998</v>
      </c>
      <c r="P201" s="76">
        <f>O201/$O$214</f>
        <v>4.4089252964881136E-2</v>
      </c>
      <c r="Q201" s="76"/>
      <c r="R201" s="372">
        <v>6891659</v>
      </c>
      <c r="S201" s="372"/>
      <c r="T201" s="372"/>
      <c r="U201" s="372"/>
      <c r="V201" s="372"/>
      <c r="W201" s="372">
        <v>181848.12</v>
      </c>
      <c r="X201" s="71">
        <f t="shared" ref="X201:X211" si="149">W201-O201</f>
        <v>159036.54</v>
      </c>
      <c r="Y201" s="76">
        <f>X201/W201</f>
        <v>0.87455696545006911</v>
      </c>
      <c r="Z201" s="76">
        <f>1-Y201</f>
        <v>0.12544303454993089</v>
      </c>
      <c r="AA201" s="126">
        <f t="shared" ref="AA201:AA211" si="150">Z201*Q201</f>
        <v>0</v>
      </c>
      <c r="AB201" s="126">
        <f t="shared" si="148"/>
        <v>0.12544303454993089</v>
      </c>
      <c r="AC201" s="126">
        <f t="shared" si="148"/>
        <v>-0.12544303454993089</v>
      </c>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c r="BI201" s="240"/>
      <c r="BJ201" s="240"/>
      <c r="BK201" s="240"/>
      <c r="BL201" s="240"/>
      <c r="BM201" s="240"/>
      <c r="BN201" s="240"/>
      <c r="BO201" s="240"/>
      <c r="BP201" s="240"/>
      <c r="BQ201" s="240"/>
    </row>
    <row r="202" spans="2:69" x14ac:dyDescent="0.2">
      <c r="B202" s="69">
        <f t="shared" ref="B202:B213" si="151">B201</f>
        <v>1</v>
      </c>
      <c r="C202" s="69">
        <f t="shared" si="128"/>
        <v>15</v>
      </c>
      <c r="D202" s="69" t="str">
        <f t="shared" ref="D202:D213" si="152">D201</f>
        <v>Seattle</v>
      </c>
      <c r="F202" s="70">
        <v>2003</v>
      </c>
      <c r="G202" s="372">
        <v>1928.7</v>
      </c>
      <c r="H202" s="372"/>
      <c r="I202" s="372"/>
      <c r="J202" s="76">
        <f t="shared" ref="J202:J210" si="153">R202/(G202*8760)</f>
        <v>0.36097095471835788</v>
      </c>
      <c r="K202" s="71"/>
      <c r="L202" s="71"/>
      <c r="M202" s="71"/>
      <c r="N202" s="71"/>
      <c r="O202" s="372">
        <v>24859.53</v>
      </c>
      <c r="P202" s="76">
        <f>O202/$O$215</f>
        <v>4.4325324027462962E-2</v>
      </c>
      <c r="Q202" s="76"/>
      <c r="R202" s="372">
        <v>6098753</v>
      </c>
      <c r="S202" s="372"/>
      <c r="T202" s="372"/>
      <c r="U202" s="372"/>
      <c r="V202" s="372"/>
      <c r="W202" s="372">
        <v>293020.44</v>
      </c>
      <c r="X202" s="71">
        <f t="shared" si="149"/>
        <v>268160.91000000003</v>
      </c>
      <c r="Y202" s="76">
        <f t="shared" ref="Y202:Y211" si="154">X202/W202</f>
        <v>0.91516110616720125</v>
      </c>
      <c r="Z202" s="76">
        <f t="shared" ref="Z202:Z211" si="155">1-Y202</f>
        <v>8.4838893832798745E-2</v>
      </c>
      <c r="AA202" s="126">
        <f t="shared" si="150"/>
        <v>0</v>
      </c>
      <c r="AB202" s="126">
        <f t="shared" ref="AB202:AB211" si="156">Z202-AA202</f>
        <v>8.4838893832798745E-2</v>
      </c>
      <c r="AC202" s="126">
        <f t="shared" ref="AC202:AC211" si="157">AA202-AB202</f>
        <v>-8.4838893832798745E-2</v>
      </c>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c r="BI202" s="240"/>
      <c r="BJ202" s="240"/>
      <c r="BK202" s="240"/>
      <c r="BL202" s="240"/>
      <c r="BM202" s="240"/>
      <c r="BN202" s="240"/>
      <c r="BO202" s="240"/>
      <c r="BP202" s="240"/>
      <c r="BQ202" s="240"/>
    </row>
    <row r="203" spans="2:69" x14ac:dyDescent="0.2">
      <c r="B203" s="69">
        <f t="shared" si="151"/>
        <v>1</v>
      </c>
      <c r="C203" s="69">
        <f t="shared" si="128"/>
        <v>15</v>
      </c>
      <c r="D203" s="69" t="str">
        <f t="shared" si="152"/>
        <v>Seattle</v>
      </c>
      <c r="F203" s="70">
        <v>2004</v>
      </c>
      <c r="G203" s="372">
        <v>1928.7</v>
      </c>
      <c r="H203" s="372"/>
      <c r="I203" s="372"/>
      <c r="J203" s="76">
        <f t="shared" si="153"/>
        <v>0.35629240648289606</v>
      </c>
      <c r="K203" s="69"/>
      <c r="L203" s="69"/>
      <c r="M203" s="69"/>
      <c r="N203" s="69"/>
      <c r="O203" s="372">
        <v>24949.32</v>
      </c>
      <c r="P203" s="76">
        <f>O203/$O$216</f>
        <v>4.1534953105455803E-2</v>
      </c>
      <c r="Q203" s="69"/>
      <c r="R203" s="372">
        <v>6019707</v>
      </c>
      <c r="S203" s="372"/>
      <c r="T203" s="372"/>
      <c r="U203" s="372"/>
      <c r="V203" s="372"/>
      <c r="W203" s="372">
        <v>324412.5</v>
      </c>
      <c r="X203" s="71">
        <f t="shared" si="149"/>
        <v>299463.18</v>
      </c>
      <c r="Y203" s="76">
        <f t="shared" si="154"/>
        <v>0.92309383886255925</v>
      </c>
      <c r="Z203" s="76">
        <f t="shared" si="155"/>
        <v>7.6906161137440754E-2</v>
      </c>
      <c r="AA203" s="126">
        <f t="shared" si="150"/>
        <v>0</v>
      </c>
      <c r="AB203" s="126">
        <f t="shared" si="156"/>
        <v>7.6906161137440754E-2</v>
      </c>
      <c r="AC203" s="126">
        <f t="shared" si="157"/>
        <v>-7.6906161137440754E-2</v>
      </c>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row>
    <row r="204" spans="2:69" x14ac:dyDescent="0.2">
      <c r="B204" s="69">
        <f t="shared" si="151"/>
        <v>1</v>
      </c>
      <c r="C204" s="69">
        <f t="shared" si="128"/>
        <v>15</v>
      </c>
      <c r="D204" s="69" t="str">
        <f t="shared" si="152"/>
        <v>Seattle</v>
      </c>
      <c r="F204" s="70">
        <v>2005</v>
      </c>
      <c r="G204" s="372">
        <v>1928.6</v>
      </c>
      <c r="H204" s="372"/>
      <c r="I204" s="372"/>
      <c r="J204" s="76">
        <f t="shared" si="153"/>
        <v>0.32820037200193009</v>
      </c>
      <c r="K204" s="69"/>
      <c r="L204" s="69"/>
      <c r="M204" s="69"/>
      <c r="N204" s="69"/>
      <c r="O204" s="372">
        <v>23242.079999999998</v>
      </c>
      <c r="P204" s="76">
        <f>O204/$O$217</f>
        <v>3.7206207554233428E-2</v>
      </c>
      <c r="Q204" s="69"/>
      <c r="R204" s="372">
        <v>5544793</v>
      </c>
      <c r="S204" s="372"/>
      <c r="T204" s="372"/>
      <c r="U204" s="372"/>
      <c r="V204" s="372"/>
      <c r="W204" s="372">
        <v>401320.71</v>
      </c>
      <c r="X204" s="71">
        <f t="shared" si="149"/>
        <v>378078.63</v>
      </c>
      <c r="Y204" s="76">
        <f t="shared" si="154"/>
        <v>0.94208601893483146</v>
      </c>
      <c r="Z204" s="76">
        <f t="shared" si="155"/>
        <v>5.791398106516854E-2</v>
      </c>
      <c r="AA204" s="126">
        <f t="shared" si="150"/>
        <v>0</v>
      </c>
      <c r="AB204" s="126">
        <f t="shared" si="156"/>
        <v>5.791398106516854E-2</v>
      </c>
      <c r="AC204" s="126">
        <f t="shared" si="157"/>
        <v>-5.791398106516854E-2</v>
      </c>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c r="BI204" s="240"/>
      <c r="BJ204" s="240"/>
      <c r="BK204" s="240"/>
      <c r="BL204" s="240"/>
      <c r="BM204" s="240"/>
      <c r="BN204" s="240"/>
      <c r="BO204" s="240"/>
      <c r="BP204" s="240"/>
      <c r="BQ204" s="240"/>
    </row>
    <row r="205" spans="2:69" x14ac:dyDescent="0.2">
      <c r="B205" s="69">
        <f t="shared" si="151"/>
        <v>1</v>
      </c>
      <c r="C205" s="69">
        <f t="shared" ref="C205:C239" si="158">IF(D205=D204,C204,C204+1)</f>
        <v>15</v>
      </c>
      <c r="D205" s="69" t="str">
        <f t="shared" si="152"/>
        <v>Seattle</v>
      </c>
      <c r="F205" s="70">
        <v>2006</v>
      </c>
      <c r="G205" s="372">
        <v>1928.6</v>
      </c>
      <c r="H205" s="372"/>
      <c r="I205" s="372"/>
      <c r="J205" s="76">
        <f t="shared" si="153"/>
        <v>0.39752740175876983</v>
      </c>
      <c r="K205" s="71"/>
      <c r="L205" s="71"/>
      <c r="M205" s="71"/>
      <c r="N205" s="71"/>
      <c r="O205" s="372">
        <v>24063.72</v>
      </c>
      <c r="P205" s="76">
        <f>O205/$O$218</f>
        <v>3.6216943116361415E-2</v>
      </c>
      <c r="Q205" s="76"/>
      <c r="R205" s="372">
        <v>6716041</v>
      </c>
      <c r="S205" s="372"/>
      <c r="T205" s="372"/>
      <c r="U205" s="372"/>
      <c r="V205" s="372"/>
      <c r="W205" s="372">
        <v>387697.23</v>
      </c>
      <c r="X205" s="71">
        <f t="shared" si="149"/>
        <v>363633.51</v>
      </c>
      <c r="Y205" s="76">
        <f t="shared" si="154"/>
        <v>0.9379316689985121</v>
      </c>
      <c r="Z205" s="76">
        <f t="shared" si="155"/>
        <v>6.2068331001487898E-2</v>
      </c>
      <c r="AA205" s="126">
        <f t="shared" si="150"/>
        <v>0</v>
      </c>
      <c r="AB205" s="126">
        <f t="shared" si="156"/>
        <v>6.2068331001487898E-2</v>
      </c>
      <c r="AC205" s="126">
        <f t="shared" si="157"/>
        <v>-6.2068331001487898E-2</v>
      </c>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c r="BH205" s="240"/>
      <c r="BI205" s="240"/>
      <c r="BJ205" s="240"/>
      <c r="BK205" s="240"/>
      <c r="BL205" s="240"/>
      <c r="BM205" s="240"/>
      <c r="BN205" s="240"/>
      <c r="BO205" s="240"/>
      <c r="BP205" s="240"/>
      <c r="BQ205" s="240"/>
    </row>
    <row r="206" spans="2:69" x14ac:dyDescent="0.2">
      <c r="B206" s="69">
        <f t="shared" si="151"/>
        <v>1</v>
      </c>
      <c r="C206" s="69">
        <f t="shared" si="158"/>
        <v>15</v>
      </c>
      <c r="D206" s="69" t="str">
        <f t="shared" si="152"/>
        <v>Seattle</v>
      </c>
      <c r="F206" s="70">
        <v>2007</v>
      </c>
      <c r="G206" s="372">
        <v>1928.6</v>
      </c>
      <c r="H206" s="372"/>
      <c r="I206" s="372"/>
      <c r="J206" s="76">
        <f t="shared" si="153"/>
        <v>0.3865438506272087</v>
      </c>
      <c r="K206" s="71"/>
      <c r="L206" s="71"/>
      <c r="M206" s="71"/>
      <c r="N206" s="71"/>
      <c r="O206" s="372">
        <v>30718.02</v>
      </c>
      <c r="P206" s="76">
        <f>O206/$O$219</f>
        <v>4.2588634301760735E-2</v>
      </c>
      <c r="Q206" s="76"/>
      <c r="R206" s="372">
        <v>6530479</v>
      </c>
      <c r="S206" s="372"/>
      <c r="T206" s="372"/>
      <c r="U206" s="372"/>
      <c r="V206" s="372"/>
      <c r="W206" s="372">
        <v>432000.6</v>
      </c>
      <c r="X206" s="71">
        <f t="shared" si="149"/>
        <v>401282.57999999996</v>
      </c>
      <c r="Y206" s="76">
        <f t="shared" si="154"/>
        <v>0.92889357098115133</v>
      </c>
      <c r="Z206" s="76">
        <f t="shared" si="155"/>
        <v>7.1106429018848671E-2</v>
      </c>
      <c r="AA206" s="126">
        <f t="shared" si="150"/>
        <v>0</v>
      </c>
      <c r="AB206" s="126">
        <f t="shared" si="156"/>
        <v>7.1106429018848671E-2</v>
      </c>
      <c r="AC206" s="126">
        <f t="shared" si="157"/>
        <v>-7.1106429018848671E-2</v>
      </c>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c r="BH206" s="240"/>
      <c r="BI206" s="240"/>
      <c r="BJ206" s="240"/>
      <c r="BK206" s="240"/>
      <c r="BL206" s="240"/>
      <c r="BM206" s="240"/>
      <c r="BN206" s="240"/>
      <c r="BO206" s="240"/>
      <c r="BP206" s="240"/>
      <c r="BQ206" s="240"/>
    </row>
    <row r="207" spans="2:69" x14ac:dyDescent="0.2">
      <c r="B207" s="69">
        <f t="shared" si="151"/>
        <v>1</v>
      </c>
      <c r="C207" s="69">
        <f t="shared" si="158"/>
        <v>15</v>
      </c>
      <c r="D207" s="69" t="str">
        <f t="shared" si="152"/>
        <v>Seattle</v>
      </c>
      <c r="F207" s="70">
        <v>2008</v>
      </c>
      <c r="G207" s="372">
        <v>1928.6</v>
      </c>
      <c r="H207" s="372"/>
      <c r="I207" s="372"/>
      <c r="J207" s="76">
        <f t="shared" si="153"/>
        <v>0.37282610188288096</v>
      </c>
      <c r="K207" s="71"/>
      <c r="L207" s="71"/>
      <c r="M207" s="71"/>
      <c r="N207" s="71"/>
      <c r="O207" s="372">
        <v>34412.94</v>
      </c>
      <c r="P207" s="76">
        <f>O207/$O$220</f>
        <v>4.40261388055826E-2</v>
      </c>
      <c r="Q207" s="76"/>
      <c r="R207" s="372">
        <v>6298724</v>
      </c>
      <c r="S207" s="372"/>
      <c r="T207" s="372"/>
      <c r="U207" s="372"/>
      <c r="V207" s="372"/>
      <c r="W207" s="372">
        <v>478724.61</v>
      </c>
      <c r="X207" s="71">
        <f t="shared" si="149"/>
        <v>444311.67</v>
      </c>
      <c r="Y207" s="76">
        <f t="shared" si="154"/>
        <v>0.92811537305341374</v>
      </c>
      <c r="Z207" s="76">
        <f t="shared" si="155"/>
        <v>7.1884626946586261E-2</v>
      </c>
      <c r="AA207" s="126">
        <f t="shared" si="150"/>
        <v>0</v>
      </c>
      <c r="AB207" s="126">
        <f t="shared" si="156"/>
        <v>7.1884626946586261E-2</v>
      </c>
      <c r="AC207" s="126">
        <f t="shared" si="157"/>
        <v>-7.1884626946586261E-2</v>
      </c>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c r="BH207" s="240"/>
      <c r="BI207" s="240"/>
      <c r="BJ207" s="240"/>
      <c r="BK207" s="240"/>
      <c r="BL207" s="240"/>
      <c r="BM207" s="240"/>
      <c r="BN207" s="240"/>
      <c r="BO207" s="240"/>
      <c r="BP207" s="240"/>
      <c r="BQ207" s="240"/>
    </row>
    <row r="208" spans="2:69" x14ac:dyDescent="0.2">
      <c r="B208" s="69">
        <f t="shared" si="151"/>
        <v>1</v>
      </c>
      <c r="C208" s="69">
        <f t="shared" si="158"/>
        <v>15</v>
      </c>
      <c r="D208" s="69" t="str">
        <f t="shared" si="152"/>
        <v>Seattle</v>
      </c>
      <c r="F208" s="70">
        <v>2009</v>
      </c>
      <c r="G208" s="372">
        <v>1928.6</v>
      </c>
      <c r="H208" s="372"/>
      <c r="I208" s="372"/>
      <c r="J208" s="76">
        <f t="shared" si="153"/>
        <v>0.34794575003421224</v>
      </c>
      <c r="K208" s="71"/>
      <c r="L208" s="71"/>
      <c r="M208" s="71"/>
      <c r="N208" s="71"/>
      <c r="O208" s="372">
        <v>35205.06</v>
      </c>
      <c r="P208" s="76">
        <f>O208/$O$221</f>
        <v>4.5032310935983172E-2</v>
      </c>
      <c r="Q208" s="76"/>
      <c r="R208" s="372">
        <v>5878382</v>
      </c>
      <c r="S208" s="372"/>
      <c r="T208" s="372"/>
      <c r="U208" s="372"/>
      <c r="V208" s="372"/>
      <c r="W208" s="372">
        <v>239954.55</v>
      </c>
      <c r="X208" s="71">
        <f t="shared" si="149"/>
        <v>204749.49</v>
      </c>
      <c r="Y208" s="76">
        <f t="shared" si="154"/>
        <v>0.8532844657457006</v>
      </c>
      <c r="Z208" s="76">
        <f t="shared" si="155"/>
        <v>0.1467155342542994</v>
      </c>
      <c r="AA208" s="126">
        <f t="shared" si="150"/>
        <v>0</v>
      </c>
      <c r="AB208" s="126">
        <f t="shared" si="156"/>
        <v>0.1467155342542994</v>
      </c>
      <c r="AC208" s="126">
        <f t="shared" si="157"/>
        <v>-0.1467155342542994</v>
      </c>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row>
    <row r="209" spans="2:69" x14ac:dyDescent="0.2">
      <c r="B209" s="69">
        <f t="shared" si="151"/>
        <v>1</v>
      </c>
      <c r="C209" s="69">
        <f t="shared" si="158"/>
        <v>15</v>
      </c>
      <c r="D209" s="69" t="str">
        <f t="shared" si="152"/>
        <v>Seattle</v>
      </c>
      <c r="F209" s="70">
        <v>2010</v>
      </c>
      <c r="G209" s="372">
        <v>1928.6</v>
      </c>
      <c r="H209" s="372"/>
      <c r="I209" s="372"/>
      <c r="J209" s="76">
        <f t="shared" si="153"/>
        <v>0.32609306346146472</v>
      </c>
      <c r="K209" s="71"/>
      <c r="L209" s="71"/>
      <c r="M209" s="71"/>
      <c r="N209" s="71"/>
      <c r="O209" s="372">
        <v>27512.639999999999</v>
      </c>
      <c r="P209" s="76">
        <f>O209/$O$222</f>
        <v>3.2739284192937451E-2</v>
      </c>
      <c r="Q209" s="76"/>
      <c r="R209" s="372">
        <v>5509191</v>
      </c>
      <c r="S209" s="372"/>
      <c r="T209" s="372"/>
      <c r="U209" s="372"/>
      <c r="V209" s="372"/>
      <c r="W209" s="372">
        <v>229894.38</v>
      </c>
      <c r="X209" s="71">
        <f t="shared" si="149"/>
        <v>202381.74</v>
      </c>
      <c r="Y209" s="76">
        <f t="shared" si="154"/>
        <v>0.88032486918557984</v>
      </c>
      <c r="Z209" s="76">
        <f t="shared" si="155"/>
        <v>0.11967513081442016</v>
      </c>
      <c r="AA209" s="126">
        <f t="shared" si="150"/>
        <v>0</v>
      </c>
      <c r="AB209" s="126">
        <f t="shared" si="156"/>
        <v>0.11967513081442016</v>
      </c>
      <c r="AC209" s="126">
        <f t="shared" si="157"/>
        <v>-0.11967513081442016</v>
      </c>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row>
    <row r="210" spans="2:69" x14ac:dyDescent="0.2">
      <c r="B210" s="69">
        <f t="shared" si="151"/>
        <v>1</v>
      </c>
      <c r="C210" s="69">
        <f t="shared" si="158"/>
        <v>15</v>
      </c>
      <c r="D210" s="69" t="str">
        <f t="shared" si="152"/>
        <v>Seattle</v>
      </c>
      <c r="F210" s="70">
        <v>2011</v>
      </c>
      <c r="G210" s="372">
        <v>1928.6</v>
      </c>
      <c r="H210" s="372"/>
      <c r="I210" s="372"/>
      <c r="J210" s="76">
        <f t="shared" si="153"/>
        <v>0.44670685244033931</v>
      </c>
      <c r="K210" s="71"/>
      <c r="L210" s="71"/>
      <c r="M210" s="71"/>
      <c r="N210" s="71"/>
      <c r="O210" s="372">
        <v>36035.31</v>
      </c>
      <c r="P210" s="76">
        <f>O210/$O$223</f>
        <v>4.4279498808858293E-2</v>
      </c>
      <c r="Q210" s="76"/>
      <c r="R210" s="372">
        <v>7546905</v>
      </c>
      <c r="S210" s="372"/>
      <c r="T210" s="372"/>
      <c r="U210" s="372"/>
      <c r="V210" s="372"/>
      <c r="W210" s="372">
        <v>256800.63</v>
      </c>
      <c r="X210" s="71">
        <f t="shared" si="149"/>
        <v>220765.32</v>
      </c>
      <c r="Y210" s="76">
        <f t="shared" si="154"/>
        <v>0.85967592836512907</v>
      </c>
      <c r="Z210" s="76">
        <f t="shared" si="155"/>
        <v>0.14032407163487093</v>
      </c>
      <c r="AA210" s="126">
        <f t="shared" si="150"/>
        <v>0</v>
      </c>
      <c r="AB210" s="126">
        <f t="shared" si="156"/>
        <v>0.14032407163487093</v>
      </c>
      <c r="AC210" s="126">
        <f t="shared" si="157"/>
        <v>-0.14032407163487093</v>
      </c>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row>
    <row r="211" spans="2:69" x14ac:dyDescent="0.2">
      <c r="B211" s="69">
        <f t="shared" si="151"/>
        <v>1</v>
      </c>
      <c r="C211" s="69">
        <f t="shared" si="158"/>
        <v>15</v>
      </c>
      <c r="D211" s="69" t="str">
        <f t="shared" si="152"/>
        <v>Seattle</v>
      </c>
      <c r="F211" s="70">
        <v>2012</v>
      </c>
      <c r="G211" s="372">
        <v>1928.6</v>
      </c>
      <c r="H211" s="372"/>
      <c r="I211" s="372"/>
      <c r="J211" s="76">
        <f>R211/(G211*8760)</f>
        <v>0.41120324346285686</v>
      </c>
      <c r="K211" s="71"/>
      <c r="L211" s="71"/>
      <c r="M211" s="71"/>
      <c r="N211" s="71"/>
      <c r="O211" s="372">
        <v>39715.47</v>
      </c>
      <c r="P211" s="76">
        <f>O211/$O$224</f>
        <v>4.8134330188187226E-2</v>
      </c>
      <c r="Q211" s="76"/>
      <c r="R211" s="372">
        <v>6947088</v>
      </c>
      <c r="S211" s="372"/>
      <c r="T211" s="372"/>
      <c r="U211" s="372"/>
      <c r="V211" s="372"/>
      <c r="W211" s="372">
        <v>177021.6</v>
      </c>
      <c r="X211" s="71">
        <f t="shared" si="149"/>
        <v>137306.13</v>
      </c>
      <c r="Y211" s="76">
        <f t="shared" si="154"/>
        <v>0.77564619232907173</v>
      </c>
      <c r="Z211" s="76">
        <f t="shared" si="155"/>
        <v>0.22435380767092827</v>
      </c>
      <c r="AA211" s="126">
        <f t="shared" si="150"/>
        <v>0</v>
      </c>
      <c r="AB211" s="126">
        <f t="shared" si="156"/>
        <v>0.22435380767092827</v>
      </c>
      <c r="AC211" s="126">
        <f t="shared" si="157"/>
        <v>-0.22435380767092827</v>
      </c>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row>
    <row r="212" spans="2:69" x14ac:dyDescent="0.2">
      <c r="B212" s="69">
        <f t="shared" si="151"/>
        <v>1</v>
      </c>
      <c r="C212" s="69">
        <f t="shared" si="158"/>
        <v>15</v>
      </c>
      <c r="D212" s="69" t="str">
        <f t="shared" si="152"/>
        <v>Seattle</v>
      </c>
      <c r="F212" s="70">
        <v>2013</v>
      </c>
      <c r="G212" s="372">
        <v>1928.6</v>
      </c>
      <c r="H212" s="372"/>
      <c r="I212" s="372"/>
      <c r="J212" s="76">
        <f>R212/(G212*8760)</f>
        <v>0.36159075336546681</v>
      </c>
      <c r="K212" s="71"/>
      <c r="L212" s="71"/>
      <c r="M212" s="71"/>
      <c r="N212" s="71"/>
      <c r="O212" s="372">
        <v>49200</v>
      </c>
      <c r="P212" s="76">
        <f>O212/$O$225</f>
        <v>5.8436315396099038E-2</v>
      </c>
      <c r="Q212" s="76"/>
      <c r="R212" s="372">
        <v>6108908</v>
      </c>
      <c r="S212" s="372"/>
      <c r="T212" s="372"/>
      <c r="U212" s="372"/>
      <c r="V212" s="372"/>
      <c r="W212" s="372">
        <v>267775.91109541967</v>
      </c>
      <c r="X212" s="71">
        <f>W212-O212</f>
        <v>218575.91109541967</v>
      </c>
      <c r="Y212" s="76">
        <f>X212/W212</f>
        <v>0.81626427934188595</v>
      </c>
      <c r="Z212" s="76">
        <f>1-Y212</f>
        <v>0.18373572065811405</v>
      </c>
      <c r="AA212" s="126">
        <f>Z212*Q212</f>
        <v>0</v>
      </c>
      <c r="AB212" s="126">
        <f>Z212-AA212</f>
        <v>0.18373572065811405</v>
      </c>
      <c r="AC212" s="126">
        <f>AA212-AB212</f>
        <v>-0.18373572065811405</v>
      </c>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c r="BI212" s="240"/>
      <c r="BJ212" s="240"/>
      <c r="BK212" s="240"/>
      <c r="BL212" s="240"/>
      <c r="BM212" s="240"/>
      <c r="BN212" s="240"/>
      <c r="BO212" s="240"/>
      <c r="BP212" s="240"/>
      <c r="BQ212" s="240"/>
    </row>
    <row r="213" spans="2:69" x14ac:dyDescent="0.2">
      <c r="B213" s="69">
        <f t="shared" si="151"/>
        <v>1</v>
      </c>
      <c r="C213" s="69">
        <f t="shared" si="158"/>
        <v>15</v>
      </c>
      <c r="D213" s="69" t="str">
        <f t="shared" si="152"/>
        <v>Seattle</v>
      </c>
      <c r="F213" s="70">
        <v>2014</v>
      </c>
      <c r="G213" s="372">
        <v>1928.6</v>
      </c>
      <c r="H213" s="372"/>
      <c r="I213" s="372"/>
      <c r="J213" s="76">
        <f>R213/(G213*8760)</f>
        <v>0.41974328268027011</v>
      </c>
      <c r="K213" s="71"/>
      <c r="L213" s="71"/>
      <c r="M213" s="71"/>
      <c r="N213" s="71"/>
      <c r="O213" s="372">
        <v>43750</v>
      </c>
      <c r="P213" s="76">
        <f>O213/$O$226</f>
        <v>5.0558354354360721E-2</v>
      </c>
      <c r="Q213" s="76"/>
      <c r="R213" s="372">
        <v>7091368</v>
      </c>
      <c r="S213" s="372"/>
      <c r="T213" s="372"/>
      <c r="U213" s="372"/>
      <c r="V213" s="372"/>
      <c r="W213" s="372">
        <v>331023.64445432753</v>
      </c>
      <c r="X213" s="71">
        <f>W213-O213</f>
        <v>287273.64445432753</v>
      </c>
      <c r="Y213" s="76">
        <f>X213/W213</f>
        <v>0.86783421446489351</v>
      </c>
      <c r="Z213" s="76">
        <f>1-Y213</f>
        <v>0.13216578553510649</v>
      </c>
      <c r="AA213" s="126">
        <f>Z213*Q213</f>
        <v>0</v>
      </c>
      <c r="AB213" s="126">
        <f>Z213-AA213</f>
        <v>0.13216578553510649</v>
      </c>
      <c r="AC213" s="126">
        <f>AA213-AB213</f>
        <v>-0.13216578553510649</v>
      </c>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row>
    <row r="214" spans="2:69" s="424" customFormat="1" x14ac:dyDescent="0.2">
      <c r="B214" s="463">
        <f>'OPG hydro peers'!B23</f>
        <v>1</v>
      </c>
      <c r="C214" s="463">
        <f t="shared" si="158"/>
        <v>16</v>
      </c>
      <c r="D214" s="463" t="str">
        <f>'OPG hydro peers'!D22</f>
        <v>Peer Industry</v>
      </c>
      <c r="F214" s="654">
        <v>2002</v>
      </c>
      <c r="G214" s="655">
        <f>IF($E$218="Y",SUMIF($F$6:$F$187,$F214,G$6:G$187),SUMIF($F$6:$F$213,$F214,G$6:G$213))</f>
        <v>30596.999999999996</v>
      </c>
      <c r="H214" s="655"/>
      <c r="I214" s="655"/>
      <c r="J214" s="656">
        <f>R214/(G214*8760)</f>
        <v>0.34735578425407454</v>
      </c>
      <c r="K214" s="655"/>
      <c r="L214" s="655"/>
      <c r="M214" s="655"/>
      <c r="N214" s="655"/>
      <c r="O214" s="655">
        <f>IF($E$218="Y",SUMIF($F$6:$F$187,$F214,O$6:O$187),SUMIF($F$6:$F$213,$F214,O$6:O$213))</f>
        <v>517395.47545000003</v>
      </c>
      <c r="P214" s="656">
        <f t="shared" ref="P214:P226" si="159">SUMIF($F$6:$F$213,$F214,P$6:P$213)</f>
        <v>0.99999999999999967</v>
      </c>
      <c r="Q214" s="656"/>
      <c r="R214" s="655">
        <f>IF($E$218="Y",SUMIF($F$6:$F$187,$F214,R$6:R$187),SUMIF($F$6:$F$213,$F214,R$6:R$213))</f>
        <v>93101673.593999997</v>
      </c>
      <c r="S214" s="655"/>
      <c r="T214" s="655"/>
      <c r="U214" s="655"/>
      <c r="V214" s="655"/>
      <c r="W214" s="655">
        <f>IF($E$218="Y",SUMIF($F$6:$F$187,$F214,W$6:W$187),SUMIF($F$6:$F$213,$F214,W$6:W$213))</f>
        <v>3580636.1040946147</v>
      </c>
      <c r="X214" s="655">
        <f>IF($E$218="Y",SUMIF($F$6:$F$187,$F214,X$6:X$187),SUMIF($F$6:$F$213,$F214,X$6:X$213))</f>
        <v>3063240.6286446145</v>
      </c>
      <c r="Y214" s="656">
        <f>X214/W214</f>
        <v>0.85550179900763001</v>
      </c>
      <c r="Z214" s="656">
        <f>1-Y214</f>
        <v>0.14449820099236999</v>
      </c>
      <c r="AA214" s="657">
        <f>Z214*Q214</f>
        <v>0</v>
      </c>
      <c r="AB214" s="657">
        <f>Z214-AA214</f>
        <v>0.14449820099236999</v>
      </c>
      <c r="AC214" s="657"/>
      <c r="AG214" s="658"/>
    </row>
    <row r="215" spans="2:69" s="424" customFormat="1" x14ac:dyDescent="0.2">
      <c r="B215" s="463">
        <f t="shared" ref="B215:B226" si="160">B214</f>
        <v>1</v>
      </c>
      <c r="C215" s="463">
        <f t="shared" si="158"/>
        <v>16</v>
      </c>
      <c r="D215" s="463" t="str">
        <f t="shared" ref="D215:D226" si="161">D214</f>
        <v>Peer Industry</v>
      </c>
      <c r="F215" s="654">
        <v>2003</v>
      </c>
      <c r="G215" s="655">
        <f t="shared" ref="G215:G226" si="162">IF($E$218="Y",SUMIF($F$6:$F$187,F215,$G$6:$G$187),SUMIF($F$6:$F$213,F215,$G$6:$G$213))</f>
        <v>31284.499999999996</v>
      </c>
      <c r="H215" s="655"/>
      <c r="I215" s="655"/>
      <c r="J215" s="656">
        <f t="shared" ref="J215:J226" si="163">R215/(G215*8760)</f>
        <v>0.37469440537281551</v>
      </c>
      <c r="K215" s="655"/>
      <c r="L215" s="655"/>
      <c r="M215" s="655"/>
      <c r="N215" s="655"/>
      <c r="O215" s="655">
        <f t="shared" ref="O215:O226" si="164">IF($E$218="Y",SUMIF($F$6:$F$187,$F215,O$6:O$187),SUMIF($F$6:$F$213,$F215,O$6:O$213))</f>
        <v>560842.60060000012</v>
      </c>
      <c r="P215" s="656">
        <f t="shared" si="159"/>
        <v>0.99999999999999978</v>
      </c>
      <c r="Q215" s="656"/>
      <c r="R215" s="655">
        <f t="shared" ref="R215:R226" si="165">IF($E$218="Y",SUMIF($F$6:$F$187,$F215,R$6:R$187),SUMIF($F$6:$F$213,$F215,R$6:R$213))</f>
        <v>102685833.61399999</v>
      </c>
      <c r="S215" s="655"/>
      <c r="T215" s="655"/>
      <c r="U215" s="655"/>
      <c r="V215" s="655"/>
      <c r="W215" s="655">
        <f t="shared" ref="W215:X226" si="166">IF($E$218="Y",SUMIF($F$6:$F$187,$F215,W$6:W$187),SUMIF($F$6:$F$213,$F215,W$6:W$213))</f>
        <v>4511026.4944742126</v>
      </c>
      <c r="X215" s="655">
        <f t="shared" si="166"/>
        <v>3950183.8938742112</v>
      </c>
      <c r="Y215" s="656">
        <f t="shared" ref="Y215:Y224" si="167">X215/W215</f>
        <v>0.87567295353130681</v>
      </c>
      <c r="Z215" s="656">
        <f t="shared" ref="Z215:Z224" si="168">1-Y215</f>
        <v>0.12432704646869319</v>
      </c>
      <c r="AA215" s="657">
        <f t="shared" ref="AA215:AA224" si="169">Z215*Q215</f>
        <v>0</v>
      </c>
      <c r="AB215" s="657">
        <f t="shared" ref="AB215:AB224" si="170">Z215-AA215</f>
        <v>0.12432704646869319</v>
      </c>
      <c r="AC215" s="657"/>
      <c r="AG215" s="658"/>
    </row>
    <row r="216" spans="2:69" s="424" customFormat="1" x14ac:dyDescent="0.2">
      <c r="B216" s="463">
        <f t="shared" si="160"/>
        <v>1</v>
      </c>
      <c r="C216" s="463">
        <f t="shared" si="158"/>
        <v>16</v>
      </c>
      <c r="D216" s="463" t="str">
        <f t="shared" si="161"/>
        <v>Peer Industry</v>
      </c>
      <c r="F216" s="654">
        <v>2004</v>
      </c>
      <c r="G216" s="655">
        <f t="shared" si="162"/>
        <v>31331.019999999997</v>
      </c>
      <c r="H216" s="655"/>
      <c r="I216" s="655"/>
      <c r="J216" s="656">
        <f t="shared" si="163"/>
        <v>0.36058477511057513</v>
      </c>
      <c r="K216" s="655"/>
      <c r="L216" s="655"/>
      <c r="M216" s="655"/>
      <c r="N216" s="655"/>
      <c r="O216" s="655">
        <f t="shared" si="164"/>
        <v>600682.51278999983</v>
      </c>
      <c r="P216" s="656">
        <f t="shared" si="159"/>
        <v>1.0000000000000002</v>
      </c>
      <c r="Q216" s="656"/>
      <c r="R216" s="655">
        <f t="shared" si="165"/>
        <v>98966001.893999994</v>
      </c>
      <c r="S216" s="655"/>
      <c r="T216" s="655"/>
      <c r="U216" s="655"/>
      <c r="V216" s="655"/>
      <c r="W216" s="655">
        <f t="shared" si="166"/>
        <v>4375511.8059701808</v>
      </c>
      <c r="X216" s="655">
        <f t="shared" si="166"/>
        <v>3774829.2931801821</v>
      </c>
      <c r="Y216" s="656">
        <f t="shared" si="167"/>
        <v>0.86271719985524997</v>
      </c>
      <c r="Z216" s="656">
        <f t="shared" si="168"/>
        <v>0.13728280014475003</v>
      </c>
      <c r="AA216" s="657">
        <f t="shared" si="169"/>
        <v>0</v>
      </c>
      <c r="AB216" s="657">
        <f t="shared" si="170"/>
        <v>0.13728280014475003</v>
      </c>
      <c r="AC216" s="657"/>
      <c r="AG216" s="658"/>
    </row>
    <row r="217" spans="2:69" s="424" customFormat="1" ht="14.25" thickBot="1" x14ac:dyDescent="0.25">
      <c r="B217" s="463">
        <f t="shared" si="160"/>
        <v>1</v>
      </c>
      <c r="C217" s="463">
        <f t="shared" si="158"/>
        <v>16</v>
      </c>
      <c r="D217" s="463" t="str">
        <f t="shared" si="161"/>
        <v>Peer Industry</v>
      </c>
      <c r="E217" s="659" t="s">
        <v>803</v>
      </c>
      <c r="F217" s="654">
        <v>2005</v>
      </c>
      <c r="G217" s="655">
        <f>IF($E$218="Y",SUMIF($F$6:$F$187,F217,$G$6:$G$187),SUMIF($F$6:$F$213,F217,$G$6:$G$213))</f>
        <v>31309.42</v>
      </c>
      <c r="H217" s="655"/>
      <c r="I217" s="655"/>
      <c r="J217" s="656">
        <f t="shared" si="163"/>
        <v>0.36681591442803524</v>
      </c>
      <c r="K217" s="655"/>
      <c r="L217" s="655"/>
      <c r="M217" s="655"/>
      <c r="N217" s="655"/>
      <c r="O217" s="655">
        <f t="shared" si="164"/>
        <v>624682.85611000005</v>
      </c>
      <c r="P217" s="656">
        <f t="shared" si="159"/>
        <v>1</v>
      </c>
      <c r="Q217" s="656"/>
      <c r="R217" s="655">
        <f t="shared" si="165"/>
        <v>100606791.301</v>
      </c>
      <c r="S217" s="655"/>
      <c r="T217" s="655"/>
      <c r="U217" s="655"/>
      <c r="V217" s="655"/>
      <c r="W217" s="655">
        <f t="shared" si="166"/>
        <v>5379311.2403839109</v>
      </c>
      <c r="X217" s="655">
        <f t="shared" si="166"/>
        <v>4754628.3842739118</v>
      </c>
      <c r="Y217" s="656">
        <f t="shared" si="167"/>
        <v>0.88387307813306282</v>
      </c>
      <c r="Z217" s="656">
        <f t="shared" si="168"/>
        <v>0.11612692186693718</v>
      </c>
      <c r="AA217" s="657">
        <f t="shared" si="169"/>
        <v>0</v>
      </c>
      <c r="AB217" s="657">
        <f t="shared" si="170"/>
        <v>0.11612692186693718</v>
      </c>
      <c r="AC217" s="657"/>
      <c r="AG217" s="658"/>
    </row>
    <row r="218" spans="2:69" s="424" customFormat="1" ht="14.25" thickBot="1" x14ac:dyDescent="0.25">
      <c r="B218" s="463">
        <f t="shared" si="160"/>
        <v>1</v>
      </c>
      <c r="C218" s="463">
        <f t="shared" si="158"/>
        <v>16</v>
      </c>
      <c r="D218" s="463" t="str">
        <f t="shared" si="161"/>
        <v>Peer Industry</v>
      </c>
      <c r="E218" s="464" t="s">
        <v>663</v>
      </c>
      <c r="F218" s="654">
        <v>2006</v>
      </c>
      <c r="G218" s="655">
        <f t="shared" si="162"/>
        <v>31373.799999999996</v>
      </c>
      <c r="H218" s="655"/>
      <c r="I218" s="655"/>
      <c r="J218" s="656">
        <f t="shared" si="163"/>
        <v>0.37267145461016532</v>
      </c>
      <c r="K218" s="655"/>
      <c r="L218" s="655"/>
      <c r="M218" s="655"/>
      <c r="N218" s="655"/>
      <c r="O218" s="655">
        <f t="shared" si="164"/>
        <v>664432.66408999998</v>
      </c>
      <c r="P218" s="656">
        <f t="shared" si="159"/>
        <v>1.0000000000000002</v>
      </c>
      <c r="Q218" s="656"/>
      <c r="R218" s="655">
        <f t="shared" si="165"/>
        <v>102422968.42</v>
      </c>
      <c r="S218" s="655"/>
      <c r="T218" s="655"/>
      <c r="U218" s="655"/>
      <c r="V218" s="655"/>
      <c r="W218" s="655">
        <f t="shared" si="166"/>
        <v>4612210.2487583999</v>
      </c>
      <c r="X218" s="655">
        <f t="shared" si="166"/>
        <v>3947777.5846684007</v>
      </c>
      <c r="Y218" s="656">
        <f t="shared" si="167"/>
        <v>0.85594050829125501</v>
      </c>
      <c r="Z218" s="656">
        <f t="shared" si="168"/>
        <v>0.14405949170874499</v>
      </c>
      <c r="AA218" s="657">
        <f t="shared" si="169"/>
        <v>0</v>
      </c>
      <c r="AB218" s="657">
        <f t="shared" si="170"/>
        <v>0.14405949170874499</v>
      </c>
      <c r="AC218" s="657"/>
      <c r="AG218" s="658"/>
    </row>
    <row r="219" spans="2:69" s="424" customFormat="1" x14ac:dyDescent="0.2">
      <c r="B219" s="463">
        <f t="shared" si="160"/>
        <v>1</v>
      </c>
      <c r="C219" s="463">
        <f t="shared" si="158"/>
        <v>16</v>
      </c>
      <c r="D219" s="463" t="str">
        <f t="shared" si="161"/>
        <v>Peer Industry</v>
      </c>
      <c r="E219" s="463"/>
      <c r="F219" s="654">
        <v>2007</v>
      </c>
      <c r="G219" s="655">
        <f t="shared" si="162"/>
        <v>30700.599999999995</v>
      </c>
      <c r="H219" s="655"/>
      <c r="I219" s="655"/>
      <c r="J219" s="656">
        <f t="shared" si="163"/>
        <v>0.31818192682087904</v>
      </c>
      <c r="K219" s="655"/>
      <c r="L219" s="655"/>
      <c r="M219" s="655"/>
      <c r="N219" s="655"/>
      <c r="O219" s="655">
        <f t="shared" si="164"/>
        <v>721272.71756000002</v>
      </c>
      <c r="P219" s="656">
        <f t="shared" si="159"/>
        <v>0.99999999999999989</v>
      </c>
      <c r="Q219" s="656"/>
      <c r="R219" s="655">
        <f t="shared" si="165"/>
        <v>85570974.307999998</v>
      </c>
      <c r="S219" s="655"/>
      <c r="T219" s="655"/>
      <c r="U219" s="655"/>
      <c r="V219" s="655"/>
      <c r="W219" s="655">
        <f t="shared" si="166"/>
        <v>4096345.9821861805</v>
      </c>
      <c r="X219" s="655">
        <f t="shared" si="166"/>
        <v>3375073.2646261808</v>
      </c>
      <c r="Y219" s="656">
        <f t="shared" si="167"/>
        <v>0.82392290087394826</v>
      </c>
      <c r="Z219" s="656">
        <f t="shared" si="168"/>
        <v>0.17607709912605174</v>
      </c>
      <c r="AA219" s="657">
        <f t="shared" si="169"/>
        <v>0</v>
      </c>
      <c r="AB219" s="657">
        <f t="shared" si="170"/>
        <v>0.17607709912605174</v>
      </c>
      <c r="AC219" s="657"/>
      <c r="AG219" s="658"/>
    </row>
    <row r="220" spans="2:69" s="424" customFormat="1" x14ac:dyDescent="0.2">
      <c r="B220" s="463">
        <f t="shared" si="160"/>
        <v>1</v>
      </c>
      <c r="C220" s="463">
        <f t="shared" si="158"/>
        <v>16</v>
      </c>
      <c r="D220" s="463" t="str">
        <f t="shared" si="161"/>
        <v>Peer Industry</v>
      </c>
      <c r="E220" s="463"/>
      <c r="F220" s="654">
        <v>2008</v>
      </c>
      <c r="G220" s="655">
        <f t="shared" si="162"/>
        <v>31026.799999999996</v>
      </c>
      <c r="H220" s="655"/>
      <c r="I220" s="655"/>
      <c r="J220" s="656">
        <f t="shared" si="163"/>
        <v>0.33158643121857306</v>
      </c>
      <c r="K220" s="655"/>
      <c r="L220" s="655"/>
      <c r="M220" s="655"/>
      <c r="N220" s="655"/>
      <c r="O220" s="655">
        <f t="shared" si="164"/>
        <v>781647.92402000003</v>
      </c>
      <c r="P220" s="656">
        <f t="shared" si="159"/>
        <v>1</v>
      </c>
      <c r="Q220" s="656"/>
      <c r="R220" s="655">
        <f t="shared" si="165"/>
        <v>90123457.144999996</v>
      </c>
      <c r="S220" s="655"/>
      <c r="T220" s="655"/>
      <c r="U220" s="655"/>
      <c r="V220" s="655"/>
      <c r="W220" s="655">
        <f t="shared" si="166"/>
        <v>5034783.7758249938</v>
      </c>
      <c r="X220" s="655">
        <f t="shared" si="166"/>
        <v>4253135.8518049931</v>
      </c>
      <c r="Y220" s="656">
        <f t="shared" si="167"/>
        <v>0.84475044831653756</v>
      </c>
      <c r="Z220" s="656">
        <f t="shared" si="168"/>
        <v>0.15524955168346244</v>
      </c>
      <c r="AA220" s="657">
        <f t="shared" si="169"/>
        <v>0</v>
      </c>
      <c r="AB220" s="657">
        <f t="shared" si="170"/>
        <v>0.15524955168346244</v>
      </c>
      <c r="AC220" s="657"/>
      <c r="AG220" s="658"/>
    </row>
    <row r="221" spans="2:69" s="424" customFormat="1" x14ac:dyDescent="0.2">
      <c r="B221" s="463">
        <f t="shared" si="160"/>
        <v>1</v>
      </c>
      <c r="C221" s="463">
        <f t="shared" si="158"/>
        <v>16</v>
      </c>
      <c r="D221" s="463" t="str">
        <f t="shared" si="161"/>
        <v>Peer Industry</v>
      </c>
      <c r="E221" s="463" t="s">
        <v>801</v>
      </c>
      <c r="F221" s="654">
        <v>2009</v>
      </c>
      <c r="G221" s="655">
        <f t="shared" si="162"/>
        <v>31080.072999999993</v>
      </c>
      <c r="H221" s="655"/>
      <c r="I221" s="655"/>
      <c r="J221" s="656">
        <f t="shared" si="163"/>
        <v>0.36363696426894399</v>
      </c>
      <c r="K221" s="655"/>
      <c r="L221" s="655"/>
      <c r="M221" s="655"/>
      <c r="N221" s="655"/>
      <c r="O221" s="655">
        <f t="shared" si="164"/>
        <v>781773.3371499998</v>
      </c>
      <c r="P221" s="656">
        <f t="shared" si="159"/>
        <v>1.0000000000000002</v>
      </c>
      <c r="Q221" s="656"/>
      <c r="R221" s="655">
        <f t="shared" si="165"/>
        <v>99004323.340000004</v>
      </c>
      <c r="S221" s="655"/>
      <c r="T221" s="655"/>
      <c r="U221" s="655"/>
      <c r="V221" s="655"/>
      <c r="W221" s="655">
        <f t="shared" si="166"/>
        <v>3516180.2057647663</v>
      </c>
      <c r="X221" s="655">
        <f t="shared" si="166"/>
        <v>2734406.8686147667</v>
      </c>
      <c r="Y221" s="656">
        <f t="shared" si="167"/>
        <v>0.7776640298843942</v>
      </c>
      <c r="Z221" s="656">
        <f t="shared" si="168"/>
        <v>0.2223359701156058</v>
      </c>
      <c r="AA221" s="657">
        <f t="shared" si="169"/>
        <v>0</v>
      </c>
      <c r="AB221" s="657">
        <f t="shared" si="170"/>
        <v>0.2223359701156058</v>
      </c>
      <c r="AC221" s="657"/>
      <c r="AG221" s="658"/>
    </row>
    <row r="222" spans="2:69" s="424" customFormat="1" x14ac:dyDescent="0.2">
      <c r="B222" s="463">
        <f t="shared" si="160"/>
        <v>1</v>
      </c>
      <c r="C222" s="463">
        <f t="shared" si="158"/>
        <v>16</v>
      </c>
      <c r="D222" s="463" t="str">
        <f t="shared" si="161"/>
        <v>Peer Industry</v>
      </c>
      <c r="E222" s="463" t="s">
        <v>802</v>
      </c>
      <c r="F222" s="654">
        <v>2010</v>
      </c>
      <c r="G222" s="655">
        <f t="shared" si="162"/>
        <v>31084.619999999995</v>
      </c>
      <c r="H222" s="655"/>
      <c r="I222" s="655"/>
      <c r="J222" s="656">
        <f t="shared" si="163"/>
        <v>0.34705433343566411</v>
      </c>
      <c r="K222" s="655"/>
      <c r="L222" s="655"/>
      <c r="M222" s="655"/>
      <c r="N222" s="655"/>
      <c r="O222" s="655">
        <f t="shared" si="164"/>
        <v>840355.57521245535</v>
      </c>
      <c r="P222" s="656">
        <f t="shared" si="159"/>
        <v>1</v>
      </c>
      <c r="Q222" s="656"/>
      <c r="R222" s="655">
        <f t="shared" si="165"/>
        <v>94503336.170000002</v>
      </c>
      <c r="S222" s="655"/>
      <c r="T222" s="655"/>
      <c r="U222" s="655"/>
      <c r="V222" s="655"/>
      <c r="W222" s="655">
        <f t="shared" si="166"/>
        <v>3422343.089991231</v>
      </c>
      <c r="X222" s="655">
        <f t="shared" si="166"/>
        <v>2581987.5147787761</v>
      </c>
      <c r="Y222" s="656">
        <f t="shared" si="167"/>
        <v>0.7544502251483477</v>
      </c>
      <c r="Z222" s="656">
        <f t="shared" si="168"/>
        <v>0.2455497748516523</v>
      </c>
      <c r="AA222" s="657">
        <f t="shared" si="169"/>
        <v>0</v>
      </c>
      <c r="AB222" s="657">
        <f t="shared" si="170"/>
        <v>0.2455497748516523</v>
      </c>
      <c r="AC222" s="657"/>
      <c r="AG222" s="658"/>
    </row>
    <row r="223" spans="2:69" s="424" customFormat="1" x14ac:dyDescent="0.2">
      <c r="B223" s="463">
        <f t="shared" si="160"/>
        <v>1</v>
      </c>
      <c r="C223" s="463">
        <f t="shared" si="158"/>
        <v>16</v>
      </c>
      <c r="D223" s="463" t="str">
        <f t="shared" si="161"/>
        <v>Peer Industry</v>
      </c>
      <c r="E223" s="463" t="s">
        <v>662</v>
      </c>
      <c r="F223" s="654">
        <v>2011</v>
      </c>
      <c r="G223" s="655">
        <f t="shared" si="162"/>
        <v>30703.879999999997</v>
      </c>
      <c r="H223" s="655"/>
      <c r="I223" s="655"/>
      <c r="J223" s="656">
        <f t="shared" si="163"/>
        <v>0.37194663826581192</v>
      </c>
      <c r="K223" s="655"/>
      <c r="L223" s="655"/>
      <c r="M223" s="655"/>
      <c r="N223" s="655"/>
      <c r="O223" s="655">
        <f t="shared" si="164"/>
        <v>813814.76686432119</v>
      </c>
      <c r="P223" s="656">
        <f t="shared" si="159"/>
        <v>1.0000000000000002</v>
      </c>
      <c r="Q223" s="656"/>
      <c r="R223" s="655">
        <f t="shared" si="165"/>
        <v>100040995.34200001</v>
      </c>
      <c r="S223" s="655"/>
      <c r="T223" s="655"/>
      <c r="U223" s="655"/>
      <c r="V223" s="655"/>
      <c r="W223" s="655">
        <f t="shared" si="166"/>
        <v>3339014.882398806</v>
      </c>
      <c r="X223" s="655">
        <f t="shared" si="166"/>
        <v>2525200.1155344849</v>
      </c>
      <c r="Y223" s="656">
        <f t="shared" si="167"/>
        <v>0.7562709974267432</v>
      </c>
      <c r="Z223" s="656">
        <f t="shared" si="168"/>
        <v>0.2437290025732568</v>
      </c>
      <c r="AA223" s="657">
        <f t="shared" si="169"/>
        <v>0</v>
      </c>
      <c r="AB223" s="657">
        <f t="shared" si="170"/>
        <v>0.2437290025732568</v>
      </c>
      <c r="AC223" s="657"/>
      <c r="AG223" s="658"/>
    </row>
    <row r="224" spans="2:69" s="424" customFormat="1" x14ac:dyDescent="0.2">
      <c r="B224" s="463">
        <f t="shared" si="160"/>
        <v>1</v>
      </c>
      <c r="C224" s="463">
        <f t="shared" si="158"/>
        <v>16</v>
      </c>
      <c r="D224" s="463" t="str">
        <f t="shared" si="161"/>
        <v>Peer Industry</v>
      </c>
      <c r="E224" s="463" t="s">
        <v>31</v>
      </c>
      <c r="F224" s="654">
        <v>2012</v>
      </c>
      <c r="G224" s="655">
        <f t="shared" si="162"/>
        <v>30801.859999999997</v>
      </c>
      <c r="H224" s="655"/>
      <c r="I224" s="655"/>
      <c r="J224" s="656">
        <f t="shared" si="163"/>
        <v>0.32110114314406568</v>
      </c>
      <c r="K224" s="655"/>
      <c r="L224" s="655"/>
      <c r="M224" s="655"/>
      <c r="N224" s="655"/>
      <c r="O224" s="655">
        <f t="shared" si="164"/>
        <v>825096.55467786442</v>
      </c>
      <c r="P224" s="656">
        <f t="shared" si="159"/>
        <v>0.99999999999999989</v>
      </c>
      <c r="Q224" s="656"/>
      <c r="R224" s="655">
        <f t="shared" si="165"/>
        <v>86640889.122999996</v>
      </c>
      <c r="S224" s="655"/>
      <c r="T224" s="655"/>
      <c r="U224" s="655"/>
      <c r="V224" s="655"/>
      <c r="W224" s="655">
        <f t="shared" si="166"/>
        <v>2470493.8921806784</v>
      </c>
      <c r="X224" s="655">
        <f t="shared" si="166"/>
        <v>1645397.3375028139</v>
      </c>
      <c r="Y224" s="656">
        <f t="shared" si="167"/>
        <v>0.66601959337387362</v>
      </c>
      <c r="Z224" s="656">
        <f t="shared" si="168"/>
        <v>0.33398040662612638</v>
      </c>
      <c r="AA224" s="657">
        <f t="shared" si="169"/>
        <v>0</v>
      </c>
      <c r="AB224" s="657">
        <f t="shared" si="170"/>
        <v>0.33398040662612638</v>
      </c>
      <c r="AC224" s="657"/>
      <c r="AG224" s="658"/>
    </row>
    <row r="225" spans="2:69" s="424" customFormat="1" x14ac:dyDescent="0.2">
      <c r="B225" s="463">
        <f t="shared" si="160"/>
        <v>1</v>
      </c>
      <c r="C225" s="463">
        <f t="shared" si="158"/>
        <v>16</v>
      </c>
      <c r="D225" s="463" t="str">
        <f t="shared" si="161"/>
        <v>Peer Industry</v>
      </c>
      <c r="E225" s="463" t="s">
        <v>226</v>
      </c>
      <c r="F225" s="654">
        <v>2013</v>
      </c>
      <c r="G225" s="655">
        <f t="shared" si="162"/>
        <v>30961.65</v>
      </c>
      <c r="H225" s="655"/>
      <c r="I225" s="655"/>
      <c r="J225" s="656">
        <f t="shared" si="163"/>
        <v>0.32771082085514441</v>
      </c>
      <c r="K225" s="655"/>
      <c r="L225" s="655"/>
      <c r="M225" s="655"/>
      <c r="N225" s="655"/>
      <c r="O225" s="655">
        <f t="shared" si="164"/>
        <v>841942.20095000009</v>
      </c>
      <c r="P225" s="657">
        <f t="shared" si="159"/>
        <v>0.99999999999999978</v>
      </c>
      <c r="Q225" s="463"/>
      <c r="R225" s="655">
        <f t="shared" si="165"/>
        <v>88883057.372000009</v>
      </c>
      <c r="S225" s="655"/>
      <c r="T225" s="655"/>
      <c r="U225" s="655"/>
      <c r="V225" s="655"/>
      <c r="W225" s="655">
        <f t="shared" si="166"/>
        <v>3327949.5758225247</v>
      </c>
      <c r="X225" s="655">
        <f t="shared" si="166"/>
        <v>2475941.054872524</v>
      </c>
      <c r="Y225" s="656">
        <f>X225/W225</f>
        <v>0.743983945207637</v>
      </c>
      <c r="Z225" s="656">
        <f>1-Y225</f>
        <v>0.256016054792363</v>
      </c>
      <c r="AA225" s="657">
        <f>Z225*Q225</f>
        <v>0</v>
      </c>
      <c r="AB225" s="657">
        <f>Z225-AA225</f>
        <v>0.256016054792363</v>
      </c>
      <c r="AC225" s="656"/>
      <c r="AG225" s="658"/>
    </row>
    <row r="226" spans="2:69" s="424" customFormat="1" x14ac:dyDescent="0.2">
      <c r="B226" s="463">
        <f t="shared" si="160"/>
        <v>1</v>
      </c>
      <c r="C226" s="463">
        <f t="shared" si="158"/>
        <v>16</v>
      </c>
      <c r="D226" s="463" t="str">
        <f t="shared" si="161"/>
        <v>Peer Industry</v>
      </c>
      <c r="E226" s="463" t="s">
        <v>228</v>
      </c>
      <c r="F226" s="654">
        <v>2014</v>
      </c>
      <c r="G226" s="655">
        <f t="shared" si="162"/>
        <v>31168.479999999996</v>
      </c>
      <c r="H226" s="655"/>
      <c r="I226" s="655"/>
      <c r="J226" s="656">
        <f t="shared" si="163"/>
        <v>0.31592783421924769</v>
      </c>
      <c r="K226" s="655"/>
      <c r="L226" s="655"/>
      <c r="M226" s="655"/>
      <c r="N226" s="655"/>
      <c r="O226" s="655">
        <f t="shared" si="164"/>
        <v>865336.70960408752</v>
      </c>
      <c r="P226" s="657">
        <f t="shared" si="159"/>
        <v>0.99999999999999967</v>
      </c>
      <c r="Q226" s="463"/>
      <c r="R226" s="655">
        <f t="shared" si="165"/>
        <v>86259635.748999998</v>
      </c>
      <c r="S226" s="655"/>
      <c r="T226" s="655"/>
      <c r="U226" s="655"/>
      <c r="V226" s="655"/>
      <c r="W226" s="655">
        <f t="shared" si="166"/>
        <v>3620717.7099698973</v>
      </c>
      <c r="X226" s="655">
        <f t="shared" si="166"/>
        <v>2765447.3203658098</v>
      </c>
      <c r="Y226" s="656">
        <f>X226/W226</f>
        <v>0.76378429413344184</v>
      </c>
      <c r="Z226" s="656">
        <f>1-Y226</f>
        <v>0.23621570586655816</v>
      </c>
      <c r="AA226" s="657">
        <f>Z226*Q226</f>
        <v>0</v>
      </c>
      <c r="AB226" s="657">
        <f>Z226-AA226</f>
        <v>0.23621570586655816</v>
      </c>
      <c r="AC226" s="656"/>
      <c r="AG226" s="658"/>
    </row>
    <row r="227" spans="2:69" s="237" customFormat="1" x14ac:dyDescent="0.2">
      <c r="B227" s="69">
        <f>'OPG hydro peers'!B23</f>
        <v>1</v>
      </c>
      <c r="C227" s="69">
        <f t="shared" si="158"/>
        <v>17</v>
      </c>
      <c r="D227" s="69" t="str">
        <f>'OPG hydro peers'!D23</f>
        <v>Peer Industry less OPG</v>
      </c>
      <c r="E227" s="463"/>
      <c r="F227" s="70">
        <v>2002</v>
      </c>
      <c r="G227" s="138">
        <f t="shared" ref="G227:G239" si="171">G214-G6</f>
        <v>23698.489999999998</v>
      </c>
      <c r="H227" s="138"/>
      <c r="I227" s="138"/>
      <c r="J227" s="76">
        <f t="shared" ref="J227:J236" si="172">R227/(G227*8760)</f>
        <v>0.28479896056456644</v>
      </c>
      <c r="K227" s="138"/>
      <c r="L227" s="138"/>
      <c r="M227" s="138"/>
      <c r="N227" s="138"/>
      <c r="O227" s="71">
        <f t="shared" ref="O227:P239" si="173">SUMIF($F$6:$F$213,$F227,O$6:O$213)-O6</f>
        <v>399506.35545000003</v>
      </c>
      <c r="P227" s="76">
        <f t="shared" si="173"/>
        <v>0.77214891588012602</v>
      </c>
      <c r="Q227" s="69"/>
      <c r="R227" s="138">
        <f t="shared" ref="R227:R239" si="174">R214-R6</f>
        <v>59123914.593999997</v>
      </c>
      <c r="S227" s="138"/>
      <c r="T227" s="138"/>
      <c r="U227" s="138"/>
      <c r="V227" s="138"/>
      <c r="W227" s="71">
        <f t="shared" ref="W227:W239" si="175">W214-W6</f>
        <v>1454346.3295986149</v>
      </c>
      <c r="X227" s="138">
        <f>W227-O227</f>
        <v>1054839.9741486148</v>
      </c>
      <c r="Y227" s="76">
        <f>X227/W227</f>
        <v>0.72530177488036163</v>
      </c>
      <c r="Z227" s="76">
        <f>1-Y227</f>
        <v>0.27469822511963837</v>
      </c>
      <c r="AA227" s="76">
        <f t="shared" ref="AA227:AA237" si="176">Z227*Q227</f>
        <v>0</v>
      </c>
      <c r="AB227" s="76">
        <f>Z227-AA227</f>
        <v>0.27469822511963837</v>
      </c>
      <c r="AC227" s="76">
        <f>AA227-AB227</f>
        <v>-0.27469822511963837</v>
      </c>
      <c r="AD227"/>
      <c r="AE227"/>
      <c r="AF227"/>
      <c r="AG227" s="239"/>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c r="BI227" s="240"/>
      <c r="BJ227" s="240"/>
      <c r="BK227" s="240"/>
      <c r="BL227" s="240"/>
      <c r="BM227" s="240"/>
      <c r="BN227" s="240"/>
      <c r="BO227" s="240"/>
      <c r="BP227" s="240"/>
      <c r="BQ227" s="240"/>
    </row>
    <row r="228" spans="2:69" s="237" customFormat="1" x14ac:dyDescent="0.2">
      <c r="B228" s="69">
        <f t="shared" ref="B228:B239" si="177">B227</f>
        <v>1</v>
      </c>
      <c r="C228" s="69">
        <f t="shared" si="158"/>
        <v>17</v>
      </c>
      <c r="D228" s="69" t="str">
        <f t="shared" ref="D228:D235" si="178">D227</f>
        <v>Peer Industry less OPG</v>
      </c>
      <c r="E228" s="463"/>
      <c r="F228" s="70">
        <v>2003</v>
      </c>
      <c r="G228" s="138">
        <f t="shared" si="171"/>
        <v>24358.489999999998</v>
      </c>
      <c r="H228" s="138"/>
      <c r="I228" s="138"/>
      <c r="J228" s="76">
        <f t="shared" si="172"/>
        <v>0.32562998570340856</v>
      </c>
      <c r="K228" s="138"/>
      <c r="L228" s="138"/>
      <c r="M228" s="138"/>
      <c r="N228" s="138"/>
      <c r="O228" s="71">
        <f t="shared" si="173"/>
        <v>430140.35661000013</v>
      </c>
      <c r="P228" s="76">
        <f t="shared" si="173"/>
        <v>0.7669537873011566</v>
      </c>
      <c r="Q228" s="69"/>
      <c r="R228" s="138">
        <f t="shared" si="174"/>
        <v>69483047.613999993</v>
      </c>
      <c r="S228" s="138"/>
      <c r="T228" s="138"/>
      <c r="U228" s="138"/>
      <c r="V228" s="138"/>
      <c r="W228" s="71">
        <f t="shared" si="175"/>
        <v>2442947.4458542126</v>
      </c>
      <c r="X228" s="138">
        <f t="shared" ref="X228:X236" si="179">W228-O228</f>
        <v>2012807.0892442125</v>
      </c>
      <c r="Y228" s="76">
        <f t="shared" ref="Y228:Y237" si="180">X228/W228</f>
        <v>0.82392566105342668</v>
      </c>
      <c r="Z228" s="76">
        <f t="shared" ref="Z228:Z237" si="181">1-Y228</f>
        <v>0.17607433894657332</v>
      </c>
      <c r="AA228" s="76">
        <f t="shared" si="176"/>
        <v>0</v>
      </c>
      <c r="AB228" s="76">
        <f t="shared" ref="AB228:AC237" si="182">Z228-AA228</f>
        <v>0.17607433894657332</v>
      </c>
      <c r="AC228" s="76">
        <f t="shared" si="182"/>
        <v>-0.17607433894657332</v>
      </c>
      <c r="AD228"/>
      <c r="AE228"/>
      <c r="AF228"/>
      <c r="AG228" s="239"/>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c r="BH228" s="240"/>
      <c r="BI228" s="240"/>
      <c r="BJ228" s="240"/>
      <c r="BK228" s="240"/>
      <c r="BL228" s="240"/>
      <c r="BM228" s="240"/>
      <c r="BN228" s="240"/>
      <c r="BO228" s="240"/>
      <c r="BP228" s="240"/>
      <c r="BQ228" s="240"/>
    </row>
    <row r="229" spans="2:69" s="237" customFormat="1" x14ac:dyDescent="0.2">
      <c r="B229" s="69">
        <f t="shared" si="177"/>
        <v>1</v>
      </c>
      <c r="C229" s="69">
        <f t="shared" si="158"/>
        <v>17</v>
      </c>
      <c r="D229" s="69" t="str">
        <f t="shared" si="178"/>
        <v>Peer Industry less OPG</v>
      </c>
      <c r="E229" s="463"/>
      <c r="F229" s="70">
        <v>2004</v>
      </c>
      <c r="G229" s="138">
        <f t="shared" si="171"/>
        <v>24373.01</v>
      </c>
      <c r="H229" s="138"/>
      <c r="I229" s="138"/>
      <c r="J229" s="76">
        <f t="shared" si="172"/>
        <v>0.29795069846507866</v>
      </c>
      <c r="K229" s="138"/>
      <c r="L229" s="138"/>
      <c r="M229" s="138"/>
      <c r="N229" s="138"/>
      <c r="O229" s="71">
        <f t="shared" si="173"/>
        <v>468471.38903999981</v>
      </c>
      <c r="P229" s="76">
        <f t="shared" si="173"/>
        <v>0.77989849723455951</v>
      </c>
      <c r="Q229" s="69"/>
      <c r="R229" s="138">
        <f t="shared" si="174"/>
        <v>63614728.893999994</v>
      </c>
      <c r="S229" s="138"/>
      <c r="T229" s="138"/>
      <c r="U229" s="138"/>
      <c r="V229" s="138"/>
      <c r="W229" s="71">
        <f t="shared" si="175"/>
        <v>2523964.5509401807</v>
      </c>
      <c r="X229" s="138">
        <f t="shared" si="179"/>
        <v>2055493.1619001809</v>
      </c>
      <c r="Y229" s="76">
        <f t="shared" si="180"/>
        <v>0.81439066215668776</v>
      </c>
      <c r="Z229" s="76">
        <f t="shared" si="181"/>
        <v>0.18560933784331224</v>
      </c>
      <c r="AA229" s="76">
        <f t="shared" si="176"/>
        <v>0</v>
      </c>
      <c r="AB229" s="76">
        <f t="shared" si="182"/>
        <v>0.18560933784331224</v>
      </c>
      <c r="AC229" s="76">
        <f t="shared" si="182"/>
        <v>-0.18560933784331224</v>
      </c>
      <c r="AD229"/>
      <c r="AE229"/>
      <c r="AF229"/>
      <c r="AG229" s="239"/>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row>
    <row r="230" spans="2:69" s="237" customFormat="1" x14ac:dyDescent="0.2">
      <c r="B230" s="69">
        <f t="shared" si="177"/>
        <v>1</v>
      </c>
      <c r="C230" s="69">
        <f t="shared" si="158"/>
        <v>17</v>
      </c>
      <c r="D230" s="69" t="str">
        <f t="shared" si="178"/>
        <v>Peer Industry less OPG</v>
      </c>
      <c r="E230" s="463"/>
      <c r="F230" s="70">
        <v>2005</v>
      </c>
      <c r="G230" s="138">
        <f t="shared" si="171"/>
        <v>24385.809999999998</v>
      </c>
      <c r="H230" s="138"/>
      <c r="I230" s="138"/>
      <c r="J230" s="76">
        <f t="shared" si="172"/>
        <v>0.3142017083793654</v>
      </c>
      <c r="K230" s="138"/>
      <c r="L230" s="138"/>
      <c r="M230" s="138"/>
      <c r="N230" s="138"/>
      <c r="O230" s="71">
        <f t="shared" si="173"/>
        <v>482294.38857000007</v>
      </c>
      <c r="P230" s="76">
        <f t="shared" si="173"/>
        <v>0.77206278970632281</v>
      </c>
      <c r="Q230" s="69"/>
      <c r="R230" s="138">
        <f t="shared" si="174"/>
        <v>67119673.300999999</v>
      </c>
      <c r="S230" s="138"/>
      <c r="T230" s="138"/>
      <c r="U230" s="138"/>
      <c r="V230" s="138"/>
      <c r="W230" s="71">
        <f t="shared" si="175"/>
        <v>3541380.774213911</v>
      </c>
      <c r="X230" s="138">
        <f t="shared" si="179"/>
        <v>3059086.3856439111</v>
      </c>
      <c r="Y230" s="76">
        <f t="shared" si="180"/>
        <v>0.86381176740954779</v>
      </c>
      <c r="Z230" s="76">
        <f t="shared" si="181"/>
        <v>0.13618823259045221</v>
      </c>
      <c r="AA230" s="76">
        <f t="shared" si="176"/>
        <v>0</v>
      </c>
      <c r="AB230" s="76">
        <f t="shared" si="182"/>
        <v>0.13618823259045221</v>
      </c>
      <c r="AC230" s="76">
        <f t="shared" si="182"/>
        <v>-0.13618823259045221</v>
      </c>
      <c r="AD230"/>
      <c r="AE230"/>
      <c r="AF230"/>
      <c r="AG230" s="239"/>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c r="BH230" s="240"/>
      <c r="BI230" s="240"/>
      <c r="BJ230" s="240"/>
      <c r="BK230" s="240"/>
      <c r="BL230" s="240"/>
      <c r="BM230" s="240"/>
      <c r="BN230" s="240"/>
      <c r="BO230" s="240"/>
      <c r="BP230" s="240"/>
      <c r="BQ230" s="240"/>
    </row>
    <row r="231" spans="2:69" s="237" customFormat="1" x14ac:dyDescent="0.2">
      <c r="B231" s="69">
        <f t="shared" si="177"/>
        <v>1</v>
      </c>
      <c r="C231" s="69">
        <f t="shared" si="158"/>
        <v>17</v>
      </c>
      <c r="D231" s="69" t="str">
        <f t="shared" si="178"/>
        <v>Peer Industry less OPG</v>
      </c>
      <c r="E231" s="463"/>
      <c r="F231" s="70">
        <v>2006</v>
      </c>
      <c r="G231" s="138">
        <f t="shared" si="171"/>
        <v>24402.789999999997</v>
      </c>
      <c r="H231" s="138"/>
      <c r="I231" s="138"/>
      <c r="J231" s="76">
        <f t="shared" si="172"/>
        <v>0.31853877631601979</v>
      </c>
      <c r="K231" s="138"/>
      <c r="L231" s="138"/>
      <c r="M231" s="138"/>
      <c r="N231" s="138"/>
      <c r="O231" s="71">
        <f t="shared" si="173"/>
        <v>507826.74332999997</v>
      </c>
      <c r="P231" s="76">
        <f t="shared" si="173"/>
        <v>0.76430129157709958</v>
      </c>
      <c r="Q231" s="69"/>
      <c r="R231" s="138">
        <f t="shared" si="174"/>
        <v>68093537.420000002</v>
      </c>
      <c r="S231" s="138"/>
      <c r="T231" s="138"/>
      <c r="U231" s="138"/>
      <c r="V231" s="138"/>
      <c r="W231" s="71">
        <f t="shared" si="175"/>
        <v>3203290.4427383998</v>
      </c>
      <c r="X231" s="138">
        <f t="shared" si="179"/>
        <v>2695463.6994083999</v>
      </c>
      <c r="Y231" s="76">
        <f t="shared" si="180"/>
        <v>0.84146715622331336</v>
      </c>
      <c r="Z231" s="76">
        <f t="shared" si="181"/>
        <v>0.15853284377668664</v>
      </c>
      <c r="AA231" s="76">
        <f t="shared" si="176"/>
        <v>0</v>
      </c>
      <c r="AB231" s="76">
        <f t="shared" si="182"/>
        <v>0.15853284377668664</v>
      </c>
      <c r="AC231" s="76">
        <f t="shared" si="182"/>
        <v>-0.15853284377668664</v>
      </c>
      <c r="AD231"/>
      <c r="AE231"/>
      <c r="AF231"/>
      <c r="AG231" s="239"/>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c r="BH231" s="240"/>
      <c r="BI231" s="240"/>
      <c r="BJ231" s="240"/>
      <c r="BK231" s="240"/>
      <c r="BL231" s="240"/>
      <c r="BM231" s="240"/>
      <c r="BN231" s="240"/>
      <c r="BO231" s="240"/>
      <c r="BP231" s="240"/>
      <c r="BQ231" s="240"/>
    </row>
    <row r="232" spans="2:69" s="237" customFormat="1" x14ac:dyDescent="0.2">
      <c r="B232" s="69">
        <f t="shared" si="177"/>
        <v>1</v>
      </c>
      <c r="C232" s="69">
        <f t="shared" si="158"/>
        <v>17</v>
      </c>
      <c r="D232" s="69" t="str">
        <f t="shared" si="178"/>
        <v>Peer Industry less OPG</v>
      </c>
      <c r="E232" s="463"/>
      <c r="F232" s="70">
        <v>2007</v>
      </c>
      <c r="G232" s="138">
        <f t="shared" si="171"/>
        <v>23729.789999999997</v>
      </c>
      <c r="H232" s="138"/>
      <c r="I232" s="138"/>
      <c r="J232" s="76">
        <f t="shared" si="172"/>
        <v>0.25296342634854785</v>
      </c>
      <c r="K232" s="138"/>
      <c r="L232" s="138"/>
      <c r="M232" s="138"/>
      <c r="N232" s="138"/>
      <c r="O232" s="71">
        <f t="shared" si="173"/>
        <v>556318.61511000001</v>
      </c>
      <c r="P232" s="76">
        <f t="shared" si="173"/>
        <v>0.77130134214971446</v>
      </c>
      <c r="Q232" s="69"/>
      <c r="R232" s="138">
        <f t="shared" si="174"/>
        <v>52584256.307999998</v>
      </c>
      <c r="S232" s="138"/>
      <c r="T232" s="138"/>
      <c r="U232" s="138"/>
      <c r="V232" s="138"/>
      <c r="W232" s="71">
        <f t="shared" si="175"/>
        <v>2717824.9315861803</v>
      </c>
      <c r="X232" s="138">
        <f t="shared" si="179"/>
        <v>2161506.3164761802</v>
      </c>
      <c r="Y232" s="76">
        <f t="shared" si="180"/>
        <v>0.79530741342293865</v>
      </c>
      <c r="Z232" s="76">
        <f t="shared" si="181"/>
        <v>0.20469258657706135</v>
      </c>
      <c r="AA232" s="76">
        <f t="shared" si="176"/>
        <v>0</v>
      </c>
      <c r="AB232" s="76">
        <f t="shared" si="182"/>
        <v>0.20469258657706135</v>
      </c>
      <c r="AC232" s="76">
        <f t="shared" si="182"/>
        <v>-0.20469258657706135</v>
      </c>
      <c r="AD232"/>
      <c r="AE232"/>
      <c r="AF232"/>
      <c r="AG232" s="239"/>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c r="BH232" s="240"/>
      <c r="BI232" s="240"/>
      <c r="BJ232" s="240"/>
      <c r="BK232" s="240"/>
      <c r="BL232" s="240"/>
      <c r="BM232" s="240"/>
      <c r="BN232" s="240"/>
      <c r="BO232" s="240"/>
      <c r="BP232" s="240"/>
      <c r="BQ232" s="240"/>
    </row>
    <row r="233" spans="2:69" s="237" customFormat="1" x14ac:dyDescent="0.2">
      <c r="B233" s="69">
        <f t="shared" si="177"/>
        <v>1</v>
      </c>
      <c r="C233" s="69">
        <f t="shared" si="158"/>
        <v>17</v>
      </c>
      <c r="D233" s="69" t="str">
        <f t="shared" si="178"/>
        <v>Peer Industry less OPG</v>
      </c>
      <c r="E233" s="463"/>
      <c r="F233" s="70">
        <v>2008</v>
      </c>
      <c r="G233" s="138">
        <f t="shared" si="171"/>
        <v>24027.639999999996</v>
      </c>
      <c r="H233" s="138"/>
      <c r="I233" s="138"/>
      <c r="J233" s="76">
        <f t="shared" si="172"/>
        <v>0.25037817674289709</v>
      </c>
      <c r="K233" s="138"/>
      <c r="L233" s="138"/>
      <c r="M233" s="138"/>
      <c r="N233" s="138"/>
      <c r="O233" s="71">
        <f t="shared" si="173"/>
        <v>595908.49227000005</v>
      </c>
      <c r="P233" s="76">
        <f t="shared" si="173"/>
        <v>0.76237456015395555</v>
      </c>
      <c r="Q233" s="69"/>
      <c r="R233" s="138">
        <f t="shared" si="174"/>
        <v>52700131.045000002</v>
      </c>
      <c r="S233" s="138"/>
      <c r="T233" s="138"/>
      <c r="U233" s="138"/>
      <c r="V233" s="138"/>
      <c r="W233" s="71">
        <f t="shared" si="175"/>
        <v>3419194.8823449938</v>
      </c>
      <c r="X233" s="138">
        <f t="shared" si="179"/>
        <v>2823286.3900749935</v>
      </c>
      <c r="Y233" s="76">
        <f t="shared" si="180"/>
        <v>0.82571672198418034</v>
      </c>
      <c r="Z233" s="76">
        <f t="shared" si="181"/>
        <v>0.17428327801581966</v>
      </c>
      <c r="AA233" s="76">
        <f t="shared" si="176"/>
        <v>0</v>
      </c>
      <c r="AB233" s="76">
        <f t="shared" si="182"/>
        <v>0.17428327801581966</v>
      </c>
      <c r="AC233" s="76">
        <f t="shared" si="182"/>
        <v>-0.17428327801581966</v>
      </c>
      <c r="AD233"/>
      <c r="AE233"/>
      <c r="AF233"/>
      <c r="AG233" s="239"/>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c r="BI233" s="240"/>
      <c r="BJ233" s="240"/>
      <c r="BK233" s="240"/>
      <c r="BL233" s="240"/>
      <c r="BM233" s="240"/>
      <c r="BN233" s="240"/>
      <c r="BO233" s="240"/>
      <c r="BP233" s="240"/>
      <c r="BQ233" s="240"/>
    </row>
    <row r="234" spans="2:69" s="237" customFormat="1" x14ac:dyDescent="0.2">
      <c r="B234" s="69">
        <f t="shared" si="177"/>
        <v>1</v>
      </c>
      <c r="C234" s="69">
        <f t="shared" si="158"/>
        <v>17</v>
      </c>
      <c r="D234" s="69" t="str">
        <f t="shared" si="178"/>
        <v>Peer Industry less OPG</v>
      </c>
      <c r="E234" s="463"/>
      <c r="F234" s="70">
        <v>2009</v>
      </c>
      <c r="G234" s="138">
        <f t="shared" si="171"/>
        <v>24174.849999999995</v>
      </c>
      <c r="H234" s="138"/>
      <c r="I234" s="138"/>
      <c r="J234" s="76">
        <f t="shared" si="172"/>
        <v>0.29608002809214073</v>
      </c>
      <c r="K234" s="138"/>
      <c r="L234" s="138"/>
      <c r="M234" s="138"/>
      <c r="N234" s="138"/>
      <c r="O234" s="71">
        <f t="shared" si="173"/>
        <v>596676.50918999978</v>
      </c>
      <c r="P234" s="76">
        <f t="shared" si="173"/>
        <v>0.76323466257524064</v>
      </c>
      <c r="Q234" s="69"/>
      <c r="R234" s="138">
        <f t="shared" si="174"/>
        <v>62701366.740000002</v>
      </c>
      <c r="S234" s="138"/>
      <c r="T234" s="138"/>
      <c r="U234" s="138"/>
      <c r="V234" s="138"/>
      <c r="W234" s="71">
        <f t="shared" si="175"/>
        <v>2180928.969364766</v>
      </c>
      <c r="X234" s="138">
        <f t="shared" si="179"/>
        <v>1584252.4601747664</v>
      </c>
      <c r="Y234" s="76">
        <f t="shared" si="180"/>
        <v>0.7264117641741481</v>
      </c>
      <c r="Z234" s="76">
        <f t="shared" si="181"/>
        <v>0.2735882358258519</v>
      </c>
      <c r="AA234" s="76">
        <f t="shared" si="176"/>
        <v>0</v>
      </c>
      <c r="AB234" s="76">
        <f t="shared" si="182"/>
        <v>0.2735882358258519</v>
      </c>
      <c r="AC234" s="76">
        <f t="shared" si="182"/>
        <v>-0.2735882358258519</v>
      </c>
      <c r="AD234"/>
      <c r="AE234"/>
      <c r="AF234"/>
      <c r="AG234" s="239"/>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c r="BH234" s="240"/>
      <c r="BI234" s="240"/>
      <c r="BJ234" s="240"/>
      <c r="BK234" s="240"/>
      <c r="BL234" s="240"/>
      <c r="BM234" s="240"/>
      <c r="BN234" s="240"/>
      <c r="BO234" s="240"/>
      <c r="BP234" s="240"/>
      <c r="BQ234" s="240"/>
    </row>
    <row r="235" spans="2:69" s="237" customFormat="1" x14ac:dyDescent="0.2">
      <c r="B235" s="69">
        <f t="shared" si="177"/>
        <v>1</v>
      </c>
      <c r="C235" s="69">
        <f t="shared" si="158"/>
        <v>17</v>
      </c>
      <c r="D235" s="69" t="str">
        <f t="shared" si="178"/>
        <v>Peer Industry less OPG</v>
      </c>
      <c r="E235" s="463"/>
      <c r="F235" s="70">
        <v>2010</v>
      </c>
      <c r="G235" s="138">
        <f t="shared" si="171"/>
        <v>24179.049999999996</v>
      </c>
      <c r="H235" s="138"/>
      <c r="I235" s="138"/>
      <c r="J235" s="76">
        <f t="shared" si="172"/>
        <v>0.30185325192696022</v>
      </c>
      <c r="K235" s="138"/>
      <c r="L235" s="138"/>
      <c r="M235" s="138"/>
      <c r="N235" s="138"/>
      <c r="O235" s="71">
        <f t="shared" si="173"/>
        <v>655662.46176000009</v>
      </c>
      <c r="P235" s="76">
        <f t="shared" si="173"/>
        <v>0.7802202794861427</v>
      </c>
      <c r="Q235" s="69"/>
      <c r="R235" s="138">
        <f t="shared" si="174"/>
        <v>63935077.870000005</v>
      </c>
      <c r="S235" s="138"/>
      <c r="T235" s="138"/>
      <c r="U235" s="138"/>
      <c r="V235" s="138"/>
      <c r="W235" s="71">
        <f t="shared" si="175"/>
        <v>2296417.1814012313</v>
      </c>
      <c r="X235" s="138">
        <f t="shared" si="179"/>
        <v>1640754.7196412312</v>
      </c>
      <c r="Y235" s="76">
        <f t="shared" si="180"/>
        <v>0.71448460363812161</v>
      </c>
      <c r="Z235" s="76">
        <f t="shared" si="181"/>
        <v>0.28551539636187839</v>
      </c>
      <c r="AA235" s="76">
        <f t="shared" si="176"/>
        <v>0</v>
      </c>
      <c r="AB235" s="76">
        <f t="shared" si="182"/>
        <v>0.28551539636187839</v>
      </c>
      <c r="AC235" s="76">
        <f t="shared" si="182"/>
        <v>-0.28551539636187839</v>
      </c>
      <c r="AD235"/>
      <c r="AE235"/>
      <c r="AF235"/>
      <c r="AG235" s="239"/>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c r="BH235" s="240"/>
      <c r="BI235" s="240"/>
      <c r="BJ235" s="240"/>
      <c r="BK235" s="240"/>
      <c r="BL235" s="240"/>
      <c r="BM235" s="240"/>
      <c r="BN235" s="240"/>
      <c r="BO235" s="240"/>
      <c r="BP235" s="240"/>
      <c r="BQ235" s="240"/>
    </row>
    <row r="236" spans="2:69" s="237" customFormat="1" x14ac:dyDescent="0.2">
      <c r="B236" s="69">
        <f t="shared" si="177"/>
        <v>1</v>
      </c>
      <c r="C236" s="69">
        <f t="shared" si="158"/>
        <v>17</v>
      </c>
      <c r="D236" s="69" t="str">
        <f>D235</f>
        <v>Peer Industry less OPG</v>
      </c>
      <c r="E236" s="463"/>
      <c r="F236" s="70">
        <v>2011</v>
      </c>
      <c r="G236" s="138">
        <f t="shared" si="171"/>
        <v>24281.879999999997</v>
      </c>
      <c r="H236" s="138"/>
      <c r="I236" s="138"/>
      <c r="J236" s="76">
        <f t="shared" si="172"/>
        <v>0.32758833282210043</v>
      </c>
      <c r="K236" s="138"/>
      <c r="L236" s="138"/>
      <c r="M236" s="138"/>
      <c r="N236" s="138"/>
      <c r="O236" s="71">
        <f t="shared" si="173"/>
        <v>639204.12818999996</v>
      </c>
      <c r="P236" s="76">
        <f t="shared" si="173"/>
        <v>0.78544179119886626</v>
      </c>
      <c r="Q236" s="69"/>
      <c r="R236" s="138">
        <f t="shared" si="174"/>
        <v>69681074.742000014</v>
      </c>
      <c r="S236" s="138"/>
      <c r="T236" s="138"/>
      <c r="U236" s="138"/>
      <c r="V236" s="138"/>
      <c r="W236" s="71">
        <f t="shared" si="175"/>
        <v>2239473.5091988062</v>
      </c>
      <c r="X236" s="138">
        <f t="shared" si="179"/>
        <v>1600269.3810088062</v>
      </c>
      <c r="Y236" s="76">
        <f t="shared" si="180"/>
        <v>0.71457392750375437</v>
      </c>
      <c r="Z236" s="76">
        <f t="shared" si="181"/>
        <v>0.28542607249624563</v>
      </c>
      <c r="AA236" s="76">
        <f t="shared" si="176"/>
        <v>0</v>
      </c>
      <c r="AB236" s="76">
        <f t="shared" si="182"/>
        <v>0.28542607249624563</v>
      </c>
      <c r="AC236" s="76">
        <f t="shared" si="182"/>
        <v>-0.28542607249624563</v>
      </c>
      <c r="AD236"/>
      <c r="AE236"/>
      <c r="AF236"/>
      <c r="AG236" s="239"/>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240"/>
      <c r="BO236" s="240"/>
      <c r="BP236" s="240"/>
      <c r="BQ236" s="240"/>
    </row>
    <row r="237" spans="2:69" s="237" customFormat="1" x14ac:dyDescent="0.2">
      <c r="B237" s="69">
        <f t="shared" si="177"/>
        <v>1</v>
      </c>
      <c r="C237" s="69">
        <f t="shared" si="158"/>
        <v>17</v>
      </c>
      <c r="D237" s="69" t="str">
        <f>D236</f>
        <v>Peer Industry less OPG</v>
      </c>
      <c r="E237" s="463"/>
      <c r="F237" s="70">
        <v>2012</v>
      </c>
      <c r="G237" s="138">
        <f t="shared" si="171"/>
        <v>24379.859999999997</v>
      </c>
      <c r="H237" s="138"/>
      <c r="I237" s="138"/>
      <c r="J237" s="76">
        <f>R237/(G237*8760)</f>
        <v>0.27242887598644333</v>
      </c>
      <c r="K237" s="138"/>
      <c r="L237" s="138"/>
      <c r="M237" s="138"/>
      <c r="N237" s="138"/>
      <c r="O237" s="71">
        <f t="shared" si="173"/>
        <v>646962.35810999991</v>
      </c>
      <c r="P237" s="76">
        <f t="shared" si="173"/>
        <v>0.78410502921392999</v>
      </c>
      <c r="Q237" s="69"/>
      <c r="R237" s="138">
        <f t="shared" si="174"/>
        <v>58181974.023000002</v>
      </c>
      <c r="S237" s="138"/>
      <c r="T237" s="138"/>
      <c r="U237" s="138"/>
      <c r="V237" s="138"/>
      <c r="W237" s="71">
        <f t="shared" si="175"/>
        <v>1528635.4741906784</v>
      </c>
      <c r="X237" s="138">
        <f>W237-O237</f>
        <v>881673.11608067853</v>
      </c>
      <c r="Y237" s="76">
        <f t="shared" si="180"/>
        <v>0.5767713303575347</v>
      </c>
      <c r="Z237" s="76">
        <f t="shared" si="181"/>
        <v>0.4232286696424653</v>
      </c>
      <c r="AA237" s="76">
        <f t="shared" si="176"/>
        <v>0</v>
      </c>
      <c r="AB237" s="76">
        <f t="shared" si="182"/>
        <v>0.4232286696424653</v>
      </c>
      <c r="AC237" s="76">
        <f t="shared" si="182"/>
        <v>-0.4232286696424653</v>
      </c>
      <c r="AD237"/>
      <c r="AE237"/>
      <c r="AF237"/>
      <c r="AG237" s="239"/>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c r="BI237" s="240"/>
      <c r="BJ237" s="240"/>
      <c r="BK237" s="240"/>
      <c r="BL237" s="240"/>
      <c r="BM237" s="240"/>
      <c r="BN237" s="240"/>
      <c r="BO237" s="240"/>
      <c r="BP237" s="240"/>
      <c r="BQ237" s="240"/>
    </row>
    <row r="238" spans="2:69" s="237" customFormat="1" x14ac:dyDescent="0.2">
      <c r="B238" s="69">
        <f t="shared" si="177"/>
        <v>1</v>
      </c>
      <c r="C238" s="69">
        <f t="shared" si="158"/>
        <v>17</v>
      </c>
      <c r="D238" s="69" t="str">
        <f>D237</f>
        <v>Peer Industry less OPG</v>
      </c>
      <c r="E238" s="463"/>
      <c r="F238" s="70">
        <v>2013</v>
      </c>
      <c r="G238" s="138">
        <f t="shared" si="171"/>
        <v>24528.65</v>
      </c>
      <c r="H238" s="138"/>
      <c r="I238" s="138"/>
      <c r="J238" s="76">
        <f>R238/(G238*8760)</f>
        <v>0.27242239508813326</v>
      </c>
      <c r="K238" s="138"/>
      <c r="L238" s="138"/>
      <c r="M238" s="138"/>
      <c r="N238" s="138"/>
      <c r="O238" s="71">
        <f t="shared" si="173"/>
        <v>659358.51090000011</v>
      </c>
      <c r="P238" s="76">
        <f t="shared" si="173"/>
        <v>0.78313987605802027</v>
      </c>
      <c r="Q238" s="69"/>
      <c r="R238" s="138">
        <f t="shared" si="174"/>
        <v>58535665.372000009</v>
      </c>
      <c r="S238" s="138"/>
      <c r="T238" s="138"/>
      <c r="U238" s="138"/>
      <c r="V238" s="138"/>
      <c r="W238" s="71">
        <f t="shared" si="175"/>
        <v>2200948.1559125246</v>
      </c>
      <c r="X238" s="138">
        <f>W238-O238</f>
        <v>1541589.6450125244</v>
      </c>
      <c r="Y238" s="76">
        <f>X238/W238</f>
        <v>0.70042069862993817</v>
      </c>
      <c r="Z238" s="76">
        <f>1-Y238</f>
        <v>0.29957930137006183</v>
      </c>
      <c r="AA238" s="76">
        <f>Z238*Q238</f>
        <v>0</v>
      </c>
      <c r="AB238" s="76">
        <f>Z238-AA238</f>
        <v>0.29957930137006183</v>
      </c>
      <c r="AC238" s="76">
        <f>AA238-AB238</f>
        <v>-0.29957930137006183</v>
      </c>
      <c r="AD238"/>
      <c r="AE238"/>
      <c r="AF238"/>
      <c r="AG238" s="239"/>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row>
    <row r="239" spans="2:69" s="237" customFormat="1" x14ac:dyDescent="0.2">
      <c r="B239" s="69">
        <f t="shared" si="177"/>
        <v>1</v>
      </c>
      <c r="C239" s="69">
        <f t="shared" si="158"/>
        <v>17</v>
      </c>
      <c r="D239" s="69" t="str">
        <f>D238</f>
        <v>Peer Industry less OPG</v>
      </c>
      <c r="E239" s="463"/>
      <c r="F239" s="70">
        <v>2014</v>
      </c>
      <c r="G239" s="138">
        <f t="shared" si="171"/>
        <v>24735.479999999996</v>
      </c>
      <c r="H239" s="138"/>
      <c r="I239" s="138"/>
      <c r="J239" s="76">
        <f>R239/(G239*8760)</f>
        <v>0.25675334875026506</v>
      </c>
      <c r="K239" s="138"/>
      <c r="L239" s="138"/>
      <c r="M239" s="138"/>
      <c r="N239" s="138"/>
      <c r="O239" s="71">
        <f t="shared" si="173"/>
        <v>677317.00375000015</v>
      </c>
      <c r="P239" s="76">
        <f t="shared" si="173"/>
        <v>0.78272075624745974</v>
      </c>
      <c r="Q239" s="69"/>
      <c r="R239" s="138">
        <f t="shared" si="174"/>
        <v>55634035.748999998</v>
      </c>
      <c r="S239" s="138"/>
      <c r="T239" s="138"/>
      <c r="U239" s="138"/>
      <c r="V239" s="138"/>
      <c r="W239" s="71">
        <f t="shared" si="175"/>
        <v>2310626.4687198973</v>
      </c>
      <c r="X239" s="138">
        <f>W239-O239</f>
        <v>1633309.4649698972</v>
      </c>
      <c r="Y239" s="76">
        <f>X239/W239</f>
        <v>0.70686867266553977</v>
      </c>
      <c r="Z239" s="76">
        <f>1-Y239</f>
        <v>0.29313132733446023</v>
      </c>
      <c r="AA239" s="76">
        <f>Z239*Q239</f>
        <v>0</v>
      </c>
      <c r="AB239" s="76">
        <f>Z239-AA239</f>
        <v>0.29313132733446023</v>
      </c>
      <c r="AC239" s="76">
        <f>AA239-AB239</f>
        <v>-0.29313132733446023</v>
      </c>
      <c r="AD239"/>
      <c r="AE239"/>
      <c r="AF239"/>
      <c r="AG239" s="239"/>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row>
  </sheetData>
  <pageMargins left="0.7" right="0.7" top="0.75" bottom="0.75" header="0.3" footer="0.3"/>
  <pageSetup scale="83" orientation="landscape" r:id="rId1"/>
  <headerFooter>
    <oddHeader>&amp;CFiled: 2016-10-26, EB-2016-0152
Exhibit L, Tab 11.1 Schedule 1 Staff-246</oddHeader>
  </headerFooter>
  <ignoredErrors>
    <ignoredError sqref="B19:D23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6" sqref="N36"/>
    </sheetView>
  </sheetViews>
  <sheetFormatPr defaultColWidth="8.85546875"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4"/>
  <sheetViews>
    <sheetView showGridLines="0" view="pageLayout" workbookViewId="0">
      <selection activeCell="I31" sqref="I31"/>
    </sheetView>
  </sheetViews>
  <sheetFormatPr defaultColWidth="8.85546875" defaultRowHeight="13.5" x14ac:dyDescent="0.25"/>
  <cols>
    <col min="1" max="13" width="8.42578125" style="1" customWidth="1"/>
    <col min="14" max="16384" width="8.85546875" style="1"/>
  </cols>
  <sheetData>
    <row r="3" spans="1:13" ht="20.25" x14ac:dyDescent="0.3">
      <c r="A3" s="762" t="s">
        <v>254</v>
      </c>
      <c r="B3" s="762"/>
      <c r="C3" s="762"/>
      <c r="D3" s="762"/>
      <c r="E3" s="762"/>
      <c r="F3" s="762"/>
      <c r="G3" s="762"/>
      <c r="H3" s="762"/>
      <c r="I3" s="762"/>
      <c r="J3" s="762"/>
      <c r="K3" s="762"/>
      <c r="L3" s="762"/>
      <c r="M3" s="762"/>
    </row>
    <row r="4" spans="1:13" ht="15.75" x14ac:dyDescent="0.25">
      <c r="A4" s="765"/>
      <c r="B4" s="766"/>
      <c r="C4" s="766"/>
      <c r="D4" s="766"/>
      <c r="E4" s="766"/>
      <c r="F4" s="766"/>
      <c r="G4" s="766"/>
      <c r="H4" s="766"/>
      <c r="I4" s="766"/>
      <c r="J4" s="766"/>
      <c r="K4" s="766"/>
      <c r="L4" s="766"/>
      <c r="M4" s="766"/>
    </row>
    <row r="5" spans="1:13" ht="16.5" x14ac:dyDescent="0.3">
      <c r="A5" s="182"/>
      <c r="B5" s="183"/>
      <c r="C5" s="183"/>
      <c r="D5" s="183"/>
      <c r="E5" s="183"/>
      <c r="F5" s="183"/>
      <c r="G5" s="183"/>
      <c r="H5" s="183"/>
      <c r="I5" s="183"/>
      <c r="J5" s="183"/>
      <c r="K5" s="182"/>
      <c r="L5" s="182"/>
      <c r="M5" s="182"/>
    </row>
    <row r="6" spans="1:13" ht="15.75" x14ac:dyDescent="0.25">
      <c r="A6" s="763" t="s">
        <v>251</v>
      </c>
      <c r="B6" s="763"/>
      <c r="C6" s="763"/>
      <c r="D6" s="763"/>
      <c r="E6" s="763"/>
      <c r="F6" s="763"/>
      <c r="G6" s="763"/>
      <c r="H6" s="763"/>
      <c r="I6" s="763"/>
      <c r="J6" s="763"/>
      <c r="K6" s="763"/>
      <c r="L6" s="763"/>
      <c r="M6" s="763"/>
    </row>
    <row r="7" spans="1:13" ht="15.75" x14ac:dyDescent="0.25">
      <c r="A7" s="763" t="s">
        <v>252</v>
      </c>
      <c r="B7" s="763"/>
      <c r="C7" s="763"/>
      <c r="D7" s="763"/>
      <c r="E7" s="763"/>
      <c r="F7" s="763"/>
      <c r="G7" s="763"/>
      <c r="H7" s="763"/>
      <c r="I7" s="763"/>
      <c r="J7" s="763"/>
      <c r="K7" s="763"/>
      <c r="L7" s="763"/>
      <c r="M7" s="763"/>
    </row>
    <row r="8" spans="1:13" ht="15.75" x14ac:dyDescent="0.25">
      <c r="A8" s="763" t="s">
        <v>253</v>
      </c>
      <c r="B8" s="763"/>
      <c r="C8" s="763"/>
      <c r="D8" s="763"/>
      <c r="E8" s="763"/>
      <c r="F8" s="763"/>
      <c r="G8" s="763"/>
      <c r="H8" s="763"/>
      <c r="I8" s="763"/>
      <c r="J8" s="763"/>
      <c r="K8" s="763"/>
      <c r="L8" s="763"/>
      <c r="M8" s="763"/>
    </row>
    <row r="9" spans="1:13" ht="15.75" x14ac:dyDescent="0.25">
      <c r="A9" s="189"/>
      <c r="B9" s="189"/>
      <c r="C9" s="189"/>
      <c r="D9" s="189"/>
      <c r="E9" s="189"/>
      <c r="F9" s="189"/>
      <c r="G9" s="189"/>
      <c r="H9" s="189"/>
      <c r="I9" s="189"/>
      <c r="J9" s="189"/>
      <c r="K9" s="189"/>
      <c r="L9" s="189"/>
      <c r="M9" s="189"/>
    </row>
    <row r="10" spans="1:13" ht="15.75" x14ac:dyDescent="0.25">
      <c r="A10" s="763" t="s">
        <v>249</v>
      </c>
      <c r="B10" s="763"/>
      <c r="C10" s="763"/>
      <c r="D10" s="763"/>
      <c r="E10" s="763"/>
      <c r="F10" s="763"/>
      <c r="G10" s="763"/>
      <c r="H10" s="763"/>
      <c r="I10" s="763"/>
      <c r="J10" s="763"/>
      <c r="K10" s="763"/>
      <c r="L10" s="763"/>
      <c r="M10" s="763"/>
    </row>
    <row r="11" spans="1:13" ht="15.75" x14ac:dyDescent="0.25">
      <c r="A11" s="763" t="s">
        <v>250</v>
      </c>
      <c r="B11" s="763"/>
      <c r="C11" s="763"/>
      <c r="D11" s="763"/>
      <c r="E11" s="763"/>
      <c r="F11" s="763"/>
      <c r="G11" s="763"/>
      <c r="H11" s="763"/>
      <c r="I11" s="763"/>
      <c r="J11" s="763"/>
      <c r="K11" s="763"/>
      <c r="L11" s="763"/>
      <c r="M11" s="763"/>
    </row>
    <row r="12" spans="1:13" ht="15.75" x14ac:dyDescent="0.25">
      <c r="A12" s="763" t="s">
        <v>310</v>
      </c>
      <c r="B12" s="763"/>
      <c r="C12" s="763"/>
      <c r="D12" s="763"/>
      <c r="E12" s="763"/>
      <c r="F12" s="763"/>
      <c r="G12" s="763"/>
      <c r="H12" s="763"/>
      <c r="I12" s="763"/>
      <c r="J12" s="763"/>
      <c r="K12" s="763"/>
      <c r="L12" s="763"/>
      <c r="M12" s="763"/>
    </row>
    <row r="13" spans="1:13" ht="16.5" x14ac:dyDescent="0.3">
      <c r="A13" s="182"/>
      <c r="B13" s="182"/>
      <c r="C13" s="182"/>
      <c r="D13" s="182"/>
      <c r="E13" s="182"/>
      <c r="F13" s="182"/>
      <c r="G13" s="182"/>
      <c r="H13" s="182"/>
      <c r="I13" s="182"/>
      <c r="J13" s="182"/>
      <c r="K13" s="182"/>
      <c r="L13" s="182"/>
      <c r="M13" s="182"/>
    </row>
    <row r="14" spans="1:13" ht="15.75" x14ac:dyDescent="0.25">
      <c r="A14" s="764"/>
      <c r="B14" s="764"/>
      <c r="C14" s="764"/>
      <c r="D14" s="764"/>
      <c r="E14" s="764"/>
      <c r="F14" s="764"/>
      <c r="G14" s="764"/>
      <c r="H14" s="764"/>
      <c r="I14" s="764"/>
      <c r="J14" s="764"/>
      <c r="K14" s="764"/>
      <c r="L14" s="764"/>
      <c r="M14" s="764"/>
    </row>
    <row r="16" spans="1:13" ht="15" x14ac:dyDescent="0.3">
      <c r="C16" s="181"/>
      <c r="E16" s="181"/>
    </row>
    <row r="20" spans="1:13" ht="15.75" x14ac:dyDescent="0.25">
      <c r="A20" s="761">
        <v>42384</v>
      </c>
      <c r="B20" s="761"/>
      <c r="C20" s="761"/>
      <c r="D20" s="761"/>
      <c r="E20" s="761"/>
      <c r="F20" s="761"/>
      <c r="G20" s="761"/>
      <c r="H20" s="761"/>
      <c r="I20" s="761"/>
      <c r="J20" s="761"/>
      <c r="K20" s="761"/>
      <c r="L20" s="761"/>
      <c r="M20" s="761"/>
    </row>
    <row r="21" spans="1:13" x14ac:dyDescent="0.25">
      <c r="F21" s="190"/>
    </row>
    <row r="24" spans="1:13" ht="15" x14ac:dyDescent="0.3">
      <c r="C24" s="181"/>
    </row>
  </sheetData>
  <mergeCells count="10">
    <mergeCell ref="A20:M20"/>
    <mergeCell ref="A3:M3"/>
    <mergeCell ref="A10:M10"/>
    <mergeCell ref="A14:M14"/>
    <mergeCell ref="A6:M6"/>
    <mergeCell ref="A7:M7"/>
    <mergeCell ref="A8:M8"/>
    <mergeCell ref="A4:M4"/>
    <mergeCell ref="A11:M11"/>
    <mergeCell ref="A12:M12"/>
  </mergeCells>
  <phoneticPr fontId="114" type="noConversion"/>
  <pageMargins left="0.7" right="0.7" top="0.75" bottom="0.75" header="0.3" footer="0.3"/>
  <pageSetup scale="83" orientation="landscape" r:id="rId1"/>
  <headerFooter>
    <oddHeader>&amp;CFiled: 2016-10-26, EB-2016-0152
Exhibit L, Tab 11.1 Schedule 1 Staff-246
Attachment 1</oddHeader>
  </headerFooter>
  <drawing r:id="rId2"/>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0"/>
  <sheetViews>
    <sheetView showGridLines="0" zoomScale="70" zoomScaleNormal="70" zoomScalePageLayoutView="70" workbookViewId="0">
      <selection activeCell="I31" sqref="I31"/>
    </sheetView>
  </sheetViews>
  <sheetFormatPr defaultColWidth="8.85546875" defaultRowHeight="16.5" x14ac:dyDescent="0.3"/>
  <cols>
    <col min="1" max="1" width="2.85546875" style="194" customWidth="1"/>
    <col min="2" max="4" width="13.42578125" style="194" customWidth="1"/>
    <col min="5" max="5" width="20.42578125" style="194" customWidth="1"/>
    <col min="6" max="9" width="13.42578125" style="194" customWidth="1"/>
    <col min="10" max="10" width="15.85546875" style="194" customWidth="1"/>
    <col min="11" max="11" width="19.42578125" style="194" customWidth="1"/>
    <col min="12" max="12" width="21" style="194" customWidth="1"/>
    <col min="13" max="15" width="13.42578125" style="194" customWidth="1"/>
    <col min="16" max="16" width="3.28515625" style="194" customWidth="1"/>
    <col min="17" max="24" width="13.42578125" style="194" customWidth="1"/>
    <col min="25" max="25" width="29" style="194" customWidth="1"/>
    <col min="26" max="16384" width="8.85546875" style="194"/>
  </cols>
  <sheetData>
    <row r="1" spans="2:25" ht="17.25" thickBot="1" x14ac:dyDescent="0.35">
      <c r="Q1" s="395"/>
      <c r="R1" s="395"/>
      <c r="S1" s="395"/>
      <c r="T1" s="395"/>
      <c r="U1" s="395"/>
      <c r="V1" s="395"/>
      <c r="W1" s="395"/>
      <c r="X1" s="395"/>
      <c r="Y1" s="395"/>
    </row>
    <row r="2" spans="2:25" ht="15.75" customHeight="1" x14ac:dyDescent="0.3">
      <c r="B2" s="191" t="s">
        <v>583</v>
      </c>
      <c r="C2" s="192"/>
      <c r="D2" s="192"/>
      <c r="E2" s="192"/>
      <c r="F2" s="192"/>
      <c r="G2" s="192"/>
      <c r="H2" s="192"/>
      <c r="I2" s="192"/>
      <c r="J2" s="192"/>
      <c r="K2" s="192"/>
      <c r="L2" s="192"/>
      <c r="M2" s="192"/>
      <c r="N2" s="192"/>
      <c r="O2" s="192"/>
      <c r="P2" s="193"/>
      <c r="Q2" s="231"/>
      <c r="R2" s="231"/>
      <c r="S2" s="231"/>
      <c r="T2" s="231"/>
      <c r="U2" s="231"/>
      <c r="V2" s="231"/>
      <c r="W2" s="231"/>
      <c r="X2" s="231"/>
      <c r="Y2" s="231"/>
    </row>
    <row r="3" spans="2:25" ht="15.75" customHeight="1" x14ac:dyDescent="0.3">
      <c r="B3" s="195" t="s">
        <v>257</v>
      </c>
      <c r="C3" s="196"/>
      <c r="D3" s="196"/>
      <c r="E3" s="196"/>
      <c r="F3" s="196"/>
      <c r="G3" s="196"/>
      <c r="H3" s="197"/>
      <c r="I3" s="197"/>
      <c r="J3" s="197"/>
      <c r="K3" s="197"/>
      <c r="L3" s="197"/>
      <c r="M3" s="197"/>
      <c r="N3" s="197"/>
      <c r="O3" s="197"/>
      <c r="P3" s="198"/>
      <c r="Q3" s="231"/>
      <c r="R3" s="231"/>
      <c r="S3" s="231"/>
      <c r="T3" s="231"/>
      <c r="U3" s="231"/>
      <c r="V3" s="231"/>
      <c r="W3" s="231"/>
      <c r="X3" s="231"/>
      <c r="Y3" s="231"/>
    </row>
    <row r="4" spans="2:25" ht="15.75" customHeight="1" x14ac:dyDescent="0.3">
      <c r="B4" s="199" t="s">
        <v>578</v>
      </c>
      <c r="C4" s="200"/>
      <c r="D4" s="200"/>
      <c r="E4" s="200"/>
      <c r="F4" s="200"/>
      <c r="G4" s="200"/>
      <c r="H4" s="201"/>
      <c r="I4" s="201"/>
      <c r="J4" s="201"/>
      <c r="K4" s="201"/>
      <c r="L4" s="201"/>
      <c r="M4" s="201"/>
      <c r="N4" s="201"/>
      <c r="O4" s="201"/>
      <c r="P4" s="202"/>
      <c r="Q4" s="396"/>
      <c r="R4" s="396"/>
      <c r="S4" s="396"/>
      <c r="T4" s="396"/>
      <c r="U4" s="396"/>
      <c r="V4" s="396"/>
      <c r="W4" s="396"/>
      <c r="X4" s="396"/>
      <c r="Y4" s="396"/>
    </row>
    <row r="5" spans="2:25" ht="15.75" customHeight="1" x14ac:dyDescent="0.3">
      <c r="B5" s="199"/>
      <c r="C5" s="200" t="s">
        <v>579</v>
      </c>
      <c r="D5" s="200"/>
      <c r="E5" s="200"/>
      <c r="F5" s="200"/>
      <c r="G5" s="200"/>
      <c r="H5" s="201"/>
      <c r="I5" s="201"/>
      <c r="J5" s="201"/>
      <c r="K5" s="201"/>
      <c r="L5" s="201"/>
      <c r="M5" s="201"/>
      <c r="N5" s="201"/>
      <c r="O5" s="201"/>
      <c r="P5" s="202"/>
      <c r="Q5" s="396"/>
      <c r="R5" s="396"/>
      <c r="S5" s="396"/>
      <c r="T5" s="396"/>
      <c r="U5" s="396"/>
      <c r="V5" s="396"/>
      <c r="W5" s="396"/>
      <c r="X5" s="396"/>
      <c r="Y5" s="396"/>
    </row>
    <row r="6" spans="2:25" ht="15.75" customHeight="1" x14ac:dyDescent="0.3">
      <c r="B6" s="199"/>
      <c r="C6" s="200" t="s">
        <v>576</v>
      </c>
      <c r="D6" s="200"/>
      <c r="E6" s="200"/>
      <c r="F6" s="200"/>
      <c r="G6" s="200"/>
      <c r="H6" s="201"/>
      <c r="I6" s="201"/>
      <c r="J6" s="201"/>
      <c r="K6" s="201"/>
      <c r="L6" s="201"/>
      <c r="M6" s="201"/>
      <c r="N6" s="201"/>
      <c r="O6" s="201"/>
      <c r="P6" s="202"/>
      <c r="Q6" s="396"/>
      <c r="R6" s="396"/>
      <c r="S6" s="396"/>
      <c r="T6" s="396"/>
      <c r="U6" s="396"/>
      <c r="V6" s="396"/>
      <c r="W6" s="396"/>
      <c r="X6" s="396"/>
      <c r="Y6" s="396"/>
    </row>
    <row r="7" spans="2:25" ht="15.75" customHeight="1" x14ac:dyDescent="0.3">
      <c r="B7" s="392" t="s">
        <v>580</v>
      </c>
      <c r="C7" s="204"/>
      <c r="D7" s="204"/>
      <c r="E7" s="204"/>
      <c r="F7" s="204"/>
      <c r="G7" s="204"/>
      <c r="H7" s="205"/>
      <c r="I7" s="205"/>
      <c r="J7" s="205"/>
      <c r="K7" s="205"/>
      <c r="L7" s="205"/>
      <c r="M7" s="205"/>
      <c r="N7" s="205"/>
      <c r="O7" s="205"/>
      <c r="P7" s="206"/>
      <c r="Q7" s="396"/>
      <c r="R7" s="396"/>
      <c r="S7" s="396"/>
      <c r="T7" s="396"/>
      <c r="U7" s="396"/>
      <c r="V7" s="396"/>
      <c r="W7" s="396"/>
      <c r="X7" s="396"/>
      <c r="Y7" s="396"/>
    </row>
    <row r="8" spans="2:25" s="390" customFormat="1" ht="15.75" customHeight="1" x14ac:dyDescent="0.3">
      <c r="B8" s="203"/>
      <c r="C8" s="204" t="s">
        <v>581</v>
      </c>
      <c r="D8" s="204"/>
      <c r="E8" s="204"/>
      <c r="F8" s="204"/>
      <c r="G8" s="204"/>
      <c r="H8" s="205"/>
      <c r="I8" s="205"/>
      <c r="J8" s="205"/>
      <c r="K8" s="205"/>
      <c r="L8" s="205"/>
      <c r="M8" s="205"/>
      <c r="N8" s="205"/>
      <c r="O8" s="205"/>
      <c r="P8" s="206"/>
      <c r="Q8" s="396"/>
      <c r="R8" s="396"/>
      <c r="S8" s="396"/>
      <c r="T8" s="396"/>
      <c r="U8" s="396"/>
      <c r="V8" s="396"/>
      <c r="W8" s="396"/>
      <c r="X8" s="396"/>
      <c r="Y8" s="396"/>
    </row>
    <row r="9" spans="2:25" s="390" customFormat="1" ht="15.75" customHeight="1" x14ac:dyDescent="0.3">
      <c r="B9" s="203"/>
      <c r="C9" s="204" t="s">
        <v>577</v>
      </c>
      <c r="D9" s="204"/>
      <c r="E9" s="204"/>
      <c r="F9" s="204"/>
      <c r="G9" s="204"/>
      <c r="H9" s="205"/>
      <c r="I9" s="205"/>
      <c r="J9" s="205"/>
      <c r="K9" s="205"/>
      <c r="L9" s="205"/>
      <c r="M9" s="205"/>
      <c r="N9" s="205"/>
      <c r="O9" s="205"/>
      <c r="P9" s="206"/>
      <c r="Q9" s="396"/>
      <c r="R9" s="396"/>
      <c r="S9" s="396"/>
      <c r="T9" s="396"/>
      <c r="U9" s="396"/>
      <c r="V9" s="396"/>
      <c r="W9" s="396"/>
      <c r="X9" s="396"/>
      <c r="Y9" s="396"/>
    </row>
    <row r="10" spans="2:25" ht="15.75" customHeight="1" x14ac:dyDescent="0.3">
      <c r="B10" s="207" t="s">
        <v>306</v>
      </c>
      <c r="C10" s="208"/>
      <c r="D10" s="208"/>
      <c r="E10" s="208"/>
      <c r="F10" s="208"/>
      <c r="G10" s="208"/>
      <c r="H10" s="209"/>
      <c r="I10" s="209"/>
      <c r="J10" s="209"/>
      <c r="K10" s="209"/>
      <c r="L10" s="209"/>
      <c r="M10" s="209"/>
      <c r="N10" s="209"/>
      <c r="O10" s="209"/>
      <c r="P10" s="210"/>
      <c r="Q10" s="231"/>
      <c r="R10" s="231"/>
      <c r="S10" s="231"/>
      <c r="T10" s="231"/>
      <c r="U10" s="231"/>
      <c r="V10" s="231"/>
      <c r="W10" s="231"/>
      <c r="X10" s="231"/>
      <c r="Y10" s="231"/>
    </row>
    <row r="11" spans="2:25" ht="15.75" customHeight="1" x14ac:dyDescent="0.3">
      <c r="B11" s="211"/>
      <c r="C11" s="208" t="s">
        <v>258</v>
      </c>
      <c r="D11" s="208"/>
      <c r="E11" s="208"/>
      <c r="F11" s="208"/>
      <c r="G11" s="208"/>
      <c r="H11" s="209"/>
      <c r="I11" s="209"/>
      <c r="J11" s="209"/>
      <c r="K11" s="209"/>
      <c r="L11" s="209"/>
      <c r="M11" s="209"/>
      <c r="N11" s="209"/>
      <c r="O11" s="209"/>
      <c r="P11" s="210"/>
      <c r="Q11" s="231"/>
      <c r="R11" s="231"/>
      <c r="S11" s="231"/>
      <c r="T11" s="231"/>
      <c r="U11" s="231"/>
      <c r="V11" s="231"/>
      <c r="W11" s="231"/>
      <c r="X11" s="231"/>
      <c r="Y11" s="231"/>
    </row>
    <row r="12" spans="2:25" ht="15.75" customHeight="1" x14ac:dyDescent="0.3">
      <c r="B12" s="211"/>
      <c r="C12" s="208" t="s">
        <v>259</v>
      </c>
      <c r="D12" s="208"/>
      <c r="E12" s="208"/>
      <c r="F12" s="208"/>
      <c r="G12" s="208"/>
      <c r="H12" s="209"/>
      <c r="I12" s="209"/>
      <c r="J12" s="209"/>
      <c r="K12" s="209"/>
      <c r="L12" s="209"/>
      <c r="M12" s="209"/>
      <c r="N12" s="209"/>
      <c r="O12" s="209"/>
      <c r="P12" s="210"/>
      <c r="Q12" s="231"/>
      <c r="R12" s="231"/>
      <c r="S12" s="231"/>
      <c r="T12" s="231"/>
      <c r="U12" s="231"/>
      <c r="V12" s="231"/>
      <c r="W12" s="231"/>
      <c r="X12" s="231"/>
      <c r="Y12" s="231"/>
    </row>
    <row r="13" spans="2:25" ht="15.75" customHeight="1" x14ac:dyDescent="0.3">
      <c r="B13" s="212" t="s">
        <v>307</v>
      </c>
      <c r="C13" s="213"/>
      <c r="D13" s="213"/>
      <c r="E13" s="213"/>
      <c r="F13" s="213"/>
      <c r="G13" s="213"/>
      <c r="H13" s="213"/>
      <c r="I13" s="213"/>
      <c r="J13" s="213"/>
      <c r="K13" s="213"/>
      <c r="L13" s="213"/>
      <c r="M13" s="213"/>
      <c r="N13" s="213"/>
      <c r="O13" s="213"/>
      <c r="P13" s="214"/>
      <c r="Q13" s="397"/>
      <c r="R13" s="397"/>
      <c r="S13" s="397"/>
      <c r="T13" s="397"/>
      <c r="U13" s="397"/>
      <c r="V13" s="397"/>
      <c r="W13" s="397"/>
      <c r="X13" s="397"/>
      <c r="Y13" s="397"/>
    </row>
    <row r="14" spans="2:25" ht="15.75" customHeight="1" x14ac:dyDescent="0.3">
      <c r="B14" s="215" t="s">
        <v>308</v>
      </c>
      <c r="C14" s="216"/>
      <c r="D14" s="216"/>
      <c r="E14" s="216"/>
      <c r="F14" s="216"/>
      <c r="G14" s="216"/>
      <c r="H14" s="217"/>
      <c r="I14" s="217"/>
      <c r="J14" s="217"/>
      <c r="K14" s="217"/>
      <c r="L14" s="217"/>
      <c r="M14" s="217"/>
      <c r="N14" s="217"/>
      <c r="O14" s="217"/>
      <c r="P14" s="218"/>
      <c r="Q14" s="231"/>
      <c r="R14" s="231"/>
      <c r="S14" s="231"/>
      <c r="T14" s="231"/>
      <c r="U14" s="231"/>
      <c r="V14" s="231"/>
      <c r="W14" s="231"/>
      <c r="X14" s="231"/>
      <c r="Y14" s="231"/>
    </row>
    <row r="15" spans="2:25" ht="15.75" customHeight="1" x14ac:dyDescent="0.3">
      <c r="B15" s="219" t="s">
        <v>309</v>
      </c>
      <c r="C15" s="220"/>
      <c r="D15" s="220"/>
      <c r="E15" s="220"/>
      <c r="F15" s="220"/>
      <c r="G15" s="220"/>
      <c r="H15" s="221"/>
      <c r="I15" s="221"/>
      <c r="J15" s="221"/>
      <c r="K15" s="221"/>
      <c r="L15" s="221"/>
      <c r="M15" s="221"/>
      <c r="N15" s="221"/>
      <c r="O15" s="221"/>
      <c r="P15" s="222"/>
      <c r="Q15" s="231"/>
      <c r="R15" s="231"/>
      <c r="S15" s="231"/>
      <c r="T15" s="231"/>
      <c r="U15" s="231"/>
      <c r="V15" s="231"/>
      <c r="W15" s="231"/>
      <c r="X15" s="231"/>
      <c r="Y15" s="231"/>
    </row>
    <row r="16" spans="2:25" ht="15.75" customHeight="1" x14ac:dyDescent="0.3">
      <c r="B16" s="393" t="s">
        <v>582</v>
      </c>
      <c r="C16" s="391"/>
      <c r="D16" s="391"/>
      <c r="E16" s="391"/>
      <c r="F16" s="391"/>
      <c r="G16" s="391"/>
      <c r="H16" s="391"/>
      <c r="I16" s="391"/>
      <c r="J16" s="391"/>
      <c r="K16" s="391"/>
      <c r="L16" s="391"/>
      <c r="M16" s="391"/>
      <c r="N16" s="391"/>
      <c r="O16" s="391"/>
      <c r="P16" s="394"/>
      <c r="Q16" s="397"/>
      <c r="R16" s="397"/>
      <c r="S16" s="397"/>
      <c r="T16" s="397"/>
      <c r="U16" s="397"/>
      <c r="V16" s="397"/>
      <c r="W16" s="397"/>
      <c r="X16" s="397"/>
      <c r="Y16" s="397"/>
    </row>
    <row r="17" spans="2:25" ht="15.75" customHeight="1" thickBot="1" x14ac:dyDescent="0.35">
      <c r="B17" s="223"/>
      <c r="C17" s="224" t="s">
        <v>591</v>
      </c>
      <c r="D17" s="224"/>
      <c r="E17" s="224"/>
      <c r="F17" s="224"/>
      <c r="G17" s="224"/>
      <c r="H17" s="224"/>
      <c r="I17" s="224"/>
      <c r="J17" s="224"/>
      <c r="K17" s="224"/>
      <c r="L17" s="224"/>
      <c r="M17" s="224"/>
      <c r="N17" s="224"/>
      <c r="O17" s="224"/>
      <c r="P17" s="225"/>
      <c r="Q17" s="397"/>
      <c r="R17" s="397"/>
      <c r="S17" s="397"/>
      <c r="T17" s="397"/>
      <c r="U17" s="397"/>
      <c r="V17" s="397"/>
      <c r="W17" s="397"/>
      <c r="X17" s="397"/>
      <c r="Y17" s="397"/>
    </row>
    <row r="18" spans="2:25" ht="15.75" customHeight="1" x14ac:dyDescent="0.3">
      <c r="C18" s="226"/>
      <c r="Q18" s="395"/>
      <c r="R18" s="395"/>
      <c r="S18" s="395"/>
      <c r="T18" s="395"/>
      <c r="U18" s="395"/>
      <c r="V18" s="395"/>
      <c r="W18" s="395"/>
      <c r="X18" s="395"/>
      <c r="Y18" s="395"/>
    </row>
    <row r="19" spans="2:25" ht="15.75" customHeight="1" x14ac:dyDescent="0.3">
      <c r="Q19" s="395"/>
      <c r="R19" s="395"/>
      <c r="S19" s="395"/>
      <c r="T19" s="395"/>
      <c r="U19" s="395"/>
      <c r="V19" s="395"/>
      <c r="W19" s="395"/>
      <c r="X19" s="395"/>
      <c r="Y19" s="395"/>
    </row>
    <row r="20" spans="2:25" ht="15.75" customHeight="1" x14ac:dyDescent="0.3">
      <c r="B20" s="416" t="s">
        <v>589</v>
      </c>
      <c r="Q20" s="395"/>
      <c r="R20" s="395"/>
      <c r="S20" s="395"/>
      <c r="T20" s="395"/>
      <c r="U20" s="395"/>
      <c r="V20" s="395"/>
      <c r="W20" s="395"/>
      <c r="X20" s="395"/>
      <c r="Y20" s="395"/>
    </row>
    <row r="21" spans="2:25" ht="15.75" customHeight="1" x14ac:dyDescent="0.3">
      <c r="C21" s="231"/>
    </row>
    <row r="22" spans="2:25" ht="15.75" customHeight="1" x14ac:dyDescent="0.3"/>
    <row r="23" spans="2:25" ht="15.75" customHeight="1" x14ac:dyDescent="0.3"/>
    <row r="24" spans="2:25" ht="15.75" customHeight="1" x14ac:dyDescent="0.3"/>
    <row r="25" spans="2:25" ht="15.75" customHeight="1" thickBot="1" x14ac:dyDescent="0.35"/>
    <row r="26" spans="2:25" ht="16.5" customHeight="1" x14ac:dyDescent="0.3">
      <c r="B26" s="227" t="s">
        <v>260</v>
      </c>
      <c r="C26" s="228"/>
      <c r="D26" s="228"/>
      <c r="E26" s="228"/>
      <c r="F26" s="228"/>
      <c r="G26" s="228"/>
      <c r="H26" s="228"/>
      <c r="I26" s="228"/>
      <c r="J26" s="228"/>
      <c r="K26" s="228"/>
      <c r="L26" s="229"/>
    </row>
    <row r="27" spans="2:25" ht="16.5" customHeight="1" x14ac:dyDescent="0.3">
      <c r="B27" s="230" t="s">
        <v>261</v>
      </c>
      <c r="C27" s="231"/>
      <c r="D27" s="231"/>
      <c r="E27" s="231"/>
      <c r="F27" s="231"/>
      <c r="G27" s="231"/>
      <c r="H27" s="231"/>
      <c r="I27" s="231"/>
      <c r="J27" s="231"/>
      <c r="K27" s="231"/>
      <c r="L27" s="232"/>
    </row>
    <row r="28" spans="2:25" ht="16.5" customHeight="1" x14ac:dyDescent="0.3">
      <c r="B28" s="233" t="s">
        <v>305</v>
      </c>
      <c r="C28" s="231"/>
      <c r="D28" s="231"/>
      <c r="E28" s="231"/>
      <c r="F28" s="231"/>
      <c r="G28" s="231"/>
      <c r="H28" s="231"/>
      <c r="I28" s="231"/>
      <c r="J28" s="231"/>
      <c r="K28" s="231"/>
      <c r="L28" s="232"/>
    </row>
    <row r="29" spans="2:25" ht="16.5" customHeight="1" x14ac:dyDescent="0.3">
      <c r="B29" s="412" t="s">
        <v>584</v>
      </c>
      <c r="C29" s="231" t="s">
        <v>586</v>
      </c>
      <c r="D29" s="231"/>
      <c r="E29" s="231"/>
      <c r="F29" s="231"/>
      <c r="G29" s="231"/>
      <c r="H29" s="231"/>
      <c r="I29" s="231"/>
      <c r="J29" s="231"/>
      <c r="K29" s="231"/>
      <c r="L29" s="232"/>
    </row>
    <row r="30" spans="2:25" ht="16.5" customHeight="1" x14ac:dyDescent="0.3">
      <c r="B30" s="230"/>
      <c r="C30" s="231" t="s">
        <v>585</v>
      </c>
      <c r="D30" s="231"/>
      <c r="E30" s="231"/>
      <c r="F30" s="231"/>
      <c r="G30" s="231"/>
      <c r="H30" s="231"/>
      <c r="I30" s="231"/>
      <c r="J30" s="231"/>
      <c r="K30" s="231"/>
      <c r="L30" s="232"/>
    </row>
    <row r="31" spans="2:25" ht="16.5" customHeight="1" x14ac:dyDescent="0.3">
      <c r="B31" s="230"/>
      <c r="C31" s="231" t="s">
        <v>590</v>
      </c>
      <c r="D31" s="231"/>
      <c r="E31" s="231"/>
      <c r="F31" s="231"/>
      <c r="G31" s="231"/>
      <c r="H31" s="231"/>
      <c r="I31" s="231"/>
      <c r="J31" s="231"/>
      <c r="K31" s="231"/>
      <c r="L31" s="232"/>
    </row>
    <row r="32" spans="2:25" ht="16.5" customHeight="1" x14ac:dyDescent="0.3">
      <c r="B32" s="230" t="s">
        <v>262</v>
      </c>
      <c r="C32" s="231"/>
      <c r="D32" s="231"/>
      <c r="E32" s="231"/>
      <c r="F32" s="231"/>
      <c r="G32" s="231"/>
      <c r="H32" s="231"/>
      <c r="I32" s="231"/>
      <c r="J32" s="231"/>
      <c r="K32" s="231"/>
      <c r="L32" s="232"/>
    </row>
    <row r="33" spans="2:12" ht="16.5" customHeight="1" x14ac:dyDescent="0.3">
      <c r="B33" s="233" t="s">
        <v>319</v>
      </c>
      <c r="C33" s="231"/>
      <c r="D33" s="231"/>
      <c r="E33" s="231"/>
      <c r="F33" s="231"/>
      <c r="G33" s="231"/>
      <c r="H33" s="231"/>
      <c r="I33" s="231"/>
      <c r="J33" s="231"/>
      <c r="K33" s="231"/>
      <c r="L33" s="232"/>
    </row>
    <row r="34" spans="2:12" ht="16.5" customHeight="1" x14ac:dyDescent="0.3">
      <c r="B34" s="230" t="s">
        <v>317</v>
      </c>
      <c r="C34" s="231"/>
      <c r="D34" s="231"/>
      <c r="E34" s="231"/>
      <c r="F34" s="231"/>
      <c r="G34" s="231"/>
      <c r="H34" s="231"/>
      <c r="I34" s="231"/>
      <c r="J34" s="231"/>
      <c r="K34" s="231"/>
      <c r="L34" s="232"/>
    </row>
    <row r="35" spans="2:12" ht="16.5" customHeight="1" x14ac:dyDescent="0.3">
      <c r="B35" s="230" t="s">
        <v>318</v>
      </c>
      <c r="C35" s="231"/>
      <c r="D35" s="231"/>
      <c r="E35" s="231"/>
      <c r="F35" s="231"/>
      <c r="G35" s="231"/>
      <c r="H35" s="231"/>
      <c r="I35" s="231"/>
      <c r="J35" s="231"/>
      <c r="K35" s="231"/>
      <c r="L35" s="232"/>
    </row>
    <row r="36" spans="2:12" ht="16.5" customHeight="1" x14ac:dyDescent="0.3">
      <c r="B36" s="230" t="s">
        <v>263</v>
      </c>
      <c r="C36" s="231"/>
      <c r="D36" s="231"/>
      <c r="E36" s="231"/>
      <c r="F36" s="231"/>
      <c r="G36" s="231"/>
      <c r="H36" s="231"/>
      <c r="I36" s="231"/>
      <c r="J36" s="231"/>
      <c r="K36" s="231"/>
      <c r="L36" s="232"/>
    </row>
    <row r="37" spans="2:12" ht="16.5" customHeight="1" x14ac:dyDescent="0.3">
      <c r="B37" s="230" t="s">
        <v>315</v>
      </c>
      <c r="C37" s="231"/>
      <c r="D37" s="231"/>
      <c r="E37" s="231"/>
      <c r="F37" s="231"/>
      <c r="G37" s="231"/>
      <c r="H37" s="231"/>
      <c r="I37" s="231"/>
      <c r="J37" s="231"/>
      <c r="K37" s="231"/>
      <c r="L37" s="232"/>
    </row>
    <row r="38" spans="2:12" ht="17.25" thickBot="1" x14ac:dyDescent="0.35">
      <c r="B38" s="234" t="s">
        <v>316</v>
      </c>
      <c r="C38" s="235"/>
      <c r="D38" s="235"/>
      <c r="E38" s="235"/>
      <c r="F38" s="235"/>
      <c r="G38" s="235"/>
      <c r="H38" s="235"/>
      <c r="I38" s="235"/>
      <c r="J38" s="235"/>
      <c r="K38" s="235"/>
      <c r="L38" s="236"/>
    </row>
    <row r="40" spans="2:12" x14ac:dyDescent="0.3">
      <c r="B40" s="413"/>
      <c r="C40" s="231"/>
    </row>
  </sheetData>
  <pageMargins left="0.7" right="0.7" top="0.75" bottom="0.75" header="0.3" footer="0.3"/>
  <pageSetup scale="83" orientation="landscape" r:id="rId1"/>
  <headerFooter>
    <oddHeader>&amp;CFiled: 2016-10-26, EB-2016-0152
Exhibit L, Tab 11.1 Schedule 1 Staff-246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7"/>
  <sheetViews>
    <sheetView zoomScale="90" zoomScaleNormal="90" zoomScalePageLayoutView="90" workbookViewId="0">
      <selection activeCell="C14" sqref="C14"/>
    </sheetView>
  </sheetViews>
  <sheetFormatPr defaultColWidth="8.85546875" defaultRowHeight="12.75" x14ac:dyDescent="0.2"/>
  <cols>
    <col min="2" max="2" width="26" bestFit="1" customWidth="1"/>
    <col min="3" max="3" width="17.28515625" customWidth="1"/>
    <col min="4" max="4" width="29.42578125" bestFit="1" customWidth="1"/>
    <col min="5" max="5" width="17.28515625" customWidth="1"/>
    <col min="6" max="6" width="28.7109375" bestFit="1" customWidth="1"/>
    <col min="7" max="7" width="17.28515625" customWidth="1"/>
    <col min="8" max="8" width="19.42578125" customWidth="1"/>
    <col min="10" max="10" width="11.42578125" hidden="1" customWidth="1"/>
    <col min="11" max="12" width="0" hidden="1" customWidth="1"/>
    <col min="16" max="16" width="12" bestFit="1" customWidth="1"/>
    <col min="17" max="17" width="21.140625" bestFit="1" customWidth="1"/>
  </cols>
  <sheetData>
    <row r="4" spans="2:8" ht="13.5" thickBot="1" x14ac:dyDescent="0.25"/>
    <row r="5" spans="2:8" ht="18" x14ac:dyDescent="0.2">
      <c r="B5" s="767" t="s">
        <v>219</v>
      </c>
      <c r="C5" s="768"/>
      <c r="D5" s="768"/>
      <c r="E5" s="768"/>
      <c r="F5" s="768"/>
      <c r="G5" s="768"/>
      <c r="H5" s="769"/>
    </row>
    <row r="6" spans="2:8" ht="60" x14ac:dyDescent="0.2">
      <c r="B6" s="113" t="s">
        <v>217</v>
      </c>
      <c r="C6" s="113" t="s">
        <v>113</v>
      </c>
      <c r="D6" s="113" t="s">
        <v>218</v>
      </c>
      <c r="E6" s="113" t="s">
        <v>113</v>
      </c>
      <c r="F6" s="113"/>
      <c r="G6" s="113"/>
      <c r="H6" s="114" t="s">
        <v>114</v>
      </c>
    </row>
    <row r="7" spans="2:8" ht="30" x14ac:dyDescent="0.2">
      <c r="B7" s="115" t="s">
        <v>115</v>
      </c>
      <c r="C7" s="116">
        <v>-1.1649578334587175E-2</v>
      </c>
      <c r="D7" s="117" t="s">
        <v>115</v>
      </c>
      <c r="E7" s="116">
        <v>-1.1327538323901386E-2</v>
      </c>
      <c r="F7" s="117"/>
      <c r="G7" s="116"/>
      <c r="H7" s="118">
        <f>AVERAGE(C7,E7,G7)</f>
        <v>-1.1488558329244281E-2</v>
      </c>
    </row>
    <row r="8" spans="2:8" ht="75" x14ac:dyDescent="0.2">
      <c r="B8" s="115" t="s">
        <v>117</v>
      </c>
      <c r="C8" s="116">
        <v>-2.4843796769825621E-3</v>
      </c>
      <c r="D8" s="117" t="s">
        <v>117</v>
      </c>
      <c r="E8" s="116"/>
      <c r="F8" s="117"/>
      <c r="G8" s="116"/>
      <c r="H8" s="118">
        <f>AVERAGE(C8,E8,G8)</f>
        <v>-2.4843796769825621E-3</v>
      </c>
    </row>
    <row r="9" spans="2:8" ht="75" x14ac:dyDescent="0.2">
      <c r="B9" s="115" t="s">
        <v>118</v>
      </c>
      <c r="C9" s="116">
        <v>7.2873167501873891E-3</v>
      </c>
      <c r="D9" s="117" t="s">
        <v>118</v>
      </c>
      <c r="E9" s="116"/>
      <c r="F9" s="117"/>
      <c r="G9" s="116"/>
      <c r="H9" s="118">
        <f>AVERAGE(C9,E9,G9)</f>
        <v>7.2873167501873891E-3</v>
      </c>
    </row>
    <row r="10" spans="2:8" ht="75" x14ac:dyDescent="0.2">
      <c r="B10" s="115" t="s">
        <v>119</v>
      </c>
      <c r="C10" s="116">
        <v>1.8038200416780746E-2</v>
      </c>
      <c r="D10" s="117" t="s">
        <v>119</v>
      </c>
      <c r="E10" s="116"/>
      <c r="F10" s="117"/>
      <c r="G10" s="116"/>
      <c r="H10" s="118">
        <f>AVERAGE(C10,E10,G10)</f>
        <v>1.8038200416780746E-2</v>
      </c>
    </row>
    <row r="11" spans="2:8" ht="60" x14ac:dyDescent="0.2">
      <c r="B11" s="115" t="s">
        <v>120</v>
      </c>
      <c r="C11" s="116">
        <v>3.028311714284828E-2</v>
      </c>
      <c r="D11" s="117" t="s">
        <v>120</v>
      </c>
      <c r="E11" s="116"/>
      <c r="F11" s="117"/>
      <c r="G11" s="116"/>
      <c r="H11" s="118">
        <f>AVERAGE(C11,E11,G11)</f>
        <v>3.028311714284828E-2</v>
      </c>
    </row>
    <row r="12" spans="2:8" ht="5.25" customHeight="1" x14ac:dyDescent="0.2">
      <c r="H12" s="119"/>
    </row>
    <row r="13" spans="2:8" ht="45.75" thickBot="1" x14ac:dyDescent="0.25">
      <c r="B13" s="120" t="s">
        <v>116</v>
      </c>
      <c r="C13" s="121">
        <f>AVERAGE(C7:C11)</f>
        <v>8.2949352596493366E-3</v>
      </c>
      <c r="D13" s="122"/>
      <c r="E13" s="121">
        <f>AVERAGE(E7:E11)</f>
        <v>-1.1327538323901386E-2</v>
      </c>
      <c r="F13" s="122"/>
      <c r="G13" s="121" t="e">
        <f>AVERAGE(G7:G11)</f>
        <v>#DIV/0!</v>
      </c>
      <c r="H13" s="123" t="e">
        <f>AVERAGE(C13,E13,G13)</f>
        <v>#DIV/0!</v>
      </c>
    </row>
    <row r="17" ht="18" customHeight="1" x14ac:dyDescent="0.2"/>
  </sheetData>
  <mergeCells count="1">
    <mergeCell ref="B5:H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25"/>
  <sheetViews>
    <sheetView showGridLines="0" view="pageLayout" workbookViewId="0">
      <selection activeCell="I31" sqref="I31"/>
    </sheetView>
  </sheetViews>
  <sheetFormatPr defaultColWidth="8.85546875" defaultRowHeight="12.75" x14ac:dyDescent="0.2"/>
  <cols>
    <col min="1" max="1" width="2.85546875" customWidth="1"/>
    <col min="2" max="2" width="31.140625" bestFit="1" customWidth="1"/>
    <col min="3" max="3" width="7.28515625" bestFit="1" customWidth="1"/>
    <col min="4" max="4" width="20.42578125" bestFit="1" customWidth="1"/>
    <col min="5" max="5" width="42.7109375" bestFit="1" customWidth="1"/>
  </cols>
  <sheetData>
    <row r="1" spans="2:6" ht="13.5" thickBot="1" x14ac:dyDescent="0.25"/>
    <row r="2" spans="2:6" ht="15" x14ac:dyDescent="0.2">
      <c r="B2" s="101" t="s">
        <v>94</v>
      </c>
      <c r="C2" s="102"/>
      <c r="D2" s="102"/>
      <c r="E2" s="103"/>
    </row>
    <row r="3" spans="2:6" ht="24" customHeight="1" x14ac:dyDescent="0.2">
      <c r="B3" s="91" t="s">
        <v>93</v>
      </c>
      <c r="C3" s="83" t="s">
        <v>22</v>
      </c>
      <c r="D3" s="83" t="s">
        <v>137</v>
      </c>
      <c r="E3" s="92" t="s">
        <v>146</v>
      </c>
    </row>
    <row r="4" spans="2:6" ht="13.5" x14ac:dyDescent="0.2">
      <c r="B4" s="93">
        <v>1</v>
      </c>
      <c r="C4" s="94">
        <v>0</v>
      </c>
      <c r="D4" s="95" t="s">
        <v>31</v>
      </c>
      <c r="E4" s="96" t="s">
        <v>105</v>
      </c>
      <c r="F4" s="18" t="s">
        <v>213</v>
      </c>
    </row>
    <row r="5" spans="2:6" ht="13.5" x14ac:dyDescent="0.2">
      <c r="B5" s="93">
        <v>1</v>
      </c>
      <c r="C5" s="94">
        <f>C4+1</f>
        <v>1</v>
      </c>
      <c r="D5" s="95" t="s">
        <v>122</v>
      </c>
      <c r="E5" s="96" t="s">
        <v>124</v>
      </c>
      <c r="F5" s="18" t="s">
        <v>214</v>
      </c>
    </row>
    <row r="6" spans="2:6" ht="13.5" x14ac:dyDescent="0.2">
      <c r="B6" s="93">
        <v>1</v>
      </c>
      <c r="C6" s="94">
        <f t="shared" ref="C6:C23" si="0">C5+1</f>
        <v>2</v>
      </c>
      <c r="D6" s="95" t="s">
        <v>123</v>
      </c>
      <c r="E6" s="96" t="s">
        <v>125</v>
      </c>
      <c r="F6" s="18" t="s">
        <v>214</v>
      </c>
    </row>
    <row r="7" spans="2:6" ht="13.5" x14ac:dyDescent="0.2">
      <c r="B7" s="93">
        <v>1</v>
      </c>
      <c r="C7" s="94">
        <f t="shared" si="0"/>
        <v>3</v>
      </c>
      <c r="D7" s="95" t="s">
        <v>138</v>
      </c>
      <c r="E7" s="96" t="s">
        <v>126</v>
      </c>
      <c r="F7" s="18" t="s">
        <v>214</v>
      </c>
    </row>
    <row r="8" spans="2:6" ht="13.5" x14ac:dyDescent="0.2">
      <c r="B8" s="93">
        <v>1</v>
      </c>
      <c r="C8" s="94">
        <f t="shared" si="0"/>
        <v>4</v>
      </c>
      <c r="D8" s="95" t="s">
        <v>139</v>
      </c>
      <c r="E8" s="96" t="s">
        <v>127</v>
      </c>
      <c r="F8" s="18" t="s">
        <v>214</v>
      </c>
    </row>
    <row r="9" spans="2:6" ht="13.5" x14ac:dyDescent="0.2">
      <c r="B9" s="93">
        <v>1</v>
      </c>
      <c r="C9" s="94">
        <f t="shared" si="0"/>
        <v>5</v>
      </c>
      <c r="D9" s="95" t="s">
        <v>140</v>
      </c>
      <c r="E9" s="96" t="s">
        <v>128</v>
      </c>
      <c r="F9" s="18" t="s">
        <v>214</v>
      </c>
    </row>
    <row r="10" spans="2:6" ht="13.5" x14ac:dyDescent="0.2">
      <c r="B10" s="93">
        <v>1</v>
      </c>
      <c r="C10" s="94">
        <f t="shared" si="0"/>
        <v>6</v>
      </c>
      <c r="D10" s="95" t="s">
        <v>141</v>
      </c>
      <c r="E10" s="96" t="s">
        <v>129</v>
      </c>
      <c r="F10" s="18" t="s">
        <v>214</v>
      </c>
    </row>
    <row r="11" spans="2:6" ht="13.5" x14ac:dyDescent="0.2">
      <c r="B11" s="93">
        <v>1</v>
      </c>
      <c r="C11" s="94">
        <f t="shared" si="0"/>
        <v>7</v>
      </c>
      <c r="D11" s="95" t="s">
        <v>142</v>
      </c>
      <c r="E11" s="96" t="s">
        <v>130</v>
      </c>
      <c r="F11" s="18" t="s">
        <v>214</v>
      </c>
    </row>
    <row r="12" spans="2:6" ht="13.5" x14ac:dyDescent="0.2">
      <c r="B12" s="93">
        <v>1</v>
      </c>
      <c r="C12" s="94">
        <f t="shared" si="0"/>
        <v>8</v>
      </c>
      <c r="D12" s="95" t="s">
        <v>121</v>
      </c>
      <c r="E12" s="96" t="s">
        <v>121</v>
      </c>
      <c r="F12" s="369" t="s">
        <v>214</v>
      </c>
    </row>
    <row r="13" spans="2:6" ht="13.5" x14ac:dyDescent="0.2">
      <c r="B13" s="93">
        <v>1</v>
      </c>
      <c r="C13" s="94">
        <f t="shared" si="0"/>
        <v>9</v>
      </c>
      <c r="D13" s="95" t="s">
        <v>143</v>
      </c>
      <c r="E13" s="96" t="s">
        <v>131</v>
      </c>
      <c r="F13" s="369" t="s">
        <v>214</v>
      </c>
    </row>
    <row r="14" spans="2:6" ht="13.5" x14ac:dyDescent="0.2">
      <c r="B14" s="93">
        <v>1</v>
      </c>
      <c r="C14" s="94">
        <f t="shared" si="0"/>
        <v>10</v>
      </c>
      <c r="D14" s="95" t="s">
        <v>144</v>
      </c>
      <c r="E14" s="96" t="s">
        <v>132</v>
      </c>
      <c r="F14" s="369" t="s">
        <v>214</v>
      </c>
    </row>
    <row r="15" spans="2:6" ht="13.5" x14ac:dyDescent="0.2">
      <c r="B15" s="93">
        <v>1</v>
      </c>
      <c r="C15" s="94">
        <f t="shared" si="0"/>
        <v>11</v>
      </c>
      <c r="D15" s="95" t="s">
        <v>145</v>
      </c>
      <c r="E15" s="96" t="s">
        <v>133</v>
      </c>
      <c r="F15" s="369" t="s">
        <v>214</v>
      </c>
    </row>
    <row r="16" spans="2:6" ht="13.5" x14ac:dyDescent="0.2">
      <c r="B16" s="93">
        <v>1</v>
      </c>
      <c r="C16" s="94">
        <f t="shared" si="0"/>
        <v>12</v>
      </c>
      <c r="D16" s="95" t="s">
        <v>149</v>
      </c>
      <c r="E16" s="96" t="s">
        <v>134</v>
      </c>
      <c r="F16" s="369" t="s">
        <v>214</v>
      </c>
    </row>
    <row r="17" spans="2:6" ht="13.5" x14ac:dyDescent="0.2">
      <c r="B17" s="93">
        <v>1</v>
      </c>
      <c r="C17" s="94">
        <f t="shared" si="0"/>
        <v>13</v>
      </c>
      <c r="D17" s="95" t="s">
        <v>147</v>
      </c>
      <c r="E17" s="96" t="s">
        <v>135</v>
      </c>
      <c r="F17" s="369" t="s">
        <v>214</v>
      </c>
    </row>
    <row r="18" spans="2:6" ht="13.5" x14ac:dyDescent="0.2">
      <c r="B18" s="93">
        <v>1</v>
      </c>
      <c r="C18" s="94">
        <f t="shared" si="0"/>
        <v>14</v>
      </c>
      <c r="D18" s="95" t="s">
        <v>148</v>
      </c>
      <c r="E18" s="96" t="s">
        <v>136</v>
      </c>
      <c r="F18" s="369" t="s">
        <v>214</v>
      </c>
    </row>
    <row r="19" spans="2:6" ht="13.5" x14ac:dyDescent="0.2">
      <c r="B19" s="93">
        <v>1</v>
      </c>
      <c r="C19" s="94">
        <f t="shared" si="0"/>
        <v>15</v>
      </c>
      <c r="D19" s="95" t="s">
        <v>226</v>
      </c>
      <c r="E19" s="96" t="s">
        <v>227</v>
      </c>
      <c r="F19" s="369" t="s">
        <v>214</v>
      </c>
    </row>
    <row r="20" spans="2:6" ht="13.5" x14ac:dyDescent="0.2">
      <c r="B20" s="93">
        <v>1</v>
      </c>
      <c r="C20" s="94">
        <f t="shared" si="0"/>
        <v>16</v>
      </c>
      <c r="D20" s="95" t="s">
        <v>228</v>
      </c>
      <c r="E20" s="96" t="s">
        <v>229</v>
      </c>
      <c r="F20" s="369" t="s">
        <v>214</v>
      </c>
    </row>
    <row r="21" spans="2:6" ht="13.5" x14ac:dyDescent="0.2">
      <c r="B21" s="93">
        <v>0</v>
      </c>
      <c r="C21" s="94">
        <f t="shared" si="0"/>
        <v>17</v>
      </c>
      <c r="D21" s="95" t="s">
        <v>274</v>
      </c>
      <c r="E21" s="96" t="s">
        <v>275</v>
      </c>
      <c r="F21" s="369" t="s">
        <v>214</v>
      </c>
    </row>
    <row r="22" spans="2:6" ht="13.5" x14ac:dyDescent="0.2">
      <c r="B22" s="93">
        <v>1</v>
      </c>
      <c r="C22" s="94">
        <f t="shared" si="0"/>
        <v>18</v>
      </c>
      <c r="D22" s="95" t="s">
        <v>150</v>
      </c>
      <c r="E22" s="96" t="s">
        <v>151</v>
      </c>
      <c r="F22" s="18" t="s">
        <v>215</v>
      </c>
    </row>
    <row r="23" spans="2:6" ht="14.25" thickBot="1" x14ac:dyDescent="0.25">
      <c r="B23" s="97">
        <v>1</v>
      </c>
      <c r="C23" s="98">
        <f t="shared" si="0"/>
        <v>19</v>
      </c>
      <c r="D23" s="99" t="s">
        <v>230</v>
      </c>
      <c r="E23" s="100" t="s">
        <v>231</v>
      </c>
      <c r="F23" s="18" t="s">
        <v>214</v>
      </c>
    </row>
    <row r="25" spans="2:6" ht="13.5" x14ac:dyDescent="0.2">
      <c r="B25" s="94"/>
      <c r="C25" s="94"/>
      <c r="D25" s="95"/>
    </row>
  </sheetData>
  <phoneticPr fontId="114"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Z58"/>
  <sheetViews>
    <sheetView showGridLines="0" view="pageLayout" workbookViewId="0">
      <selection activeCell="D29" sqref="D29:E29"/>
    </sheetView>
  </sheetViews>
  <sheetFormatPr defaultColWidth="8.85546875" defaultRowHeight="13.5" x14ac:dyDescent="0.25"/>
  <cols>
    <col min="1" max="1" width="2.85546875" style="1" customWidth="1"/>
    <col min="2" max="2" width="9.140625" style="1" customWidth="1"/>
    <col min="3" max="5" width="8.85546875" style="1"/>
    <col min="6" max="6" width="9.140625" style="1" hidden="1" customWidth="1"/>
    <col min="7" max="7" width="8.85546875" style="1"/>
    <col min="8" max="8" width="5" style="1" bestFit="1" customWidth="1"/>
    <col min="9" max="11" width="9.140625" style="1" customWidth="1"/>
    <col min="12" max="13" width="5" style="1" customWidth="1"/>
    <col min="14" max="16" width="9.140625" style="1" customWidth="1"/>
    <col min="17" max="17" width="5" style="1" customWidth="1"/>
    <col min="18" max="18" width="5" style="1" bestFit="1" customWidth="1"/>
    <col min="19" max="21" width="9.140625" style="1" customWidth="1"/>
    <col min="22" max="22" width="5" style="1" customWidth="1"/>
    <col min="23" max="23" width="5" style="1" bestFit="1" customWidth="1"/>
    <col min="24" max="26" width="9.140625" style="1" customWidth="1"/>
    <col min="27" max="16384" width="8.85546875" style="1"/>
  </cols>
  <sheetData>
    <row r="1" spans="2:26" x14ac:dyDescent="0.25">
      <c r="B1" s="1" t="s">
        <v>209</v>
      </c>
      <c r="K1" s="331" t="s">
        <v>210</v>
      </c>
      <c r="L1" s="319">
        <f>TFP_dataset!$P$1</f>
        <v>0.22554587855518504</v>
      </c>
    </row>
    <row r="2" spans="2:26" x14ac:dyDescent="0.25">
      <c r="K2" s="331" t="s">
        <v>211</v>
      </c>
      <c r="L2" s="320">
        <f>1-L1</f>
        <v>0.77445412144481496</v>
      </c>
    </row>
    <row r="3" spans="2:26" ht="14.25" thickBot="1" x14ac:dyDescent="0.3">
      <c r="N3" s="770" t="s">
        <v>247</v>
      </c>
      <c r="O3" s="770"/>
      <c r="P3" s="770"/>
      <c r="Q3" s="770"/>
      <c r="R3" s="770"/>
      <c r="S3" s="770"/>
      <c r="T3" s="770"/>
      <c r="U3" s="770"/>
      <c r="V3" s="770"/>
      <c r="W3" s="770"/>
      <c r="X3" s="770"/>
      <c r="Y3" s="770"/>
      <c r="Z3" s="770"/>
    </row>
    <row r="4" spans="2:26" x14ac:dyDescent="0.25">
      <c r="B4" s="151"/>
      <c r="C4" s="152" t="s">
        <v>215</v>
      </c>
      <c r="D4" s="152" t="s">
        <v>213</v>
      </c>
      <c r="E4" s="153" t="s">
        <v>214</v>
      </c>
      <c r="F4" s="147"/>
      <c r="G4" s="150"/>
      <c r="I4" s="279" t="s">
        <v>215</v>
      </c>
      <c r="J4" s="280" t="s">
        <v>215</v>
      </c>
      <c r="K4" s="281" t="s">
        <v>215</v>
      </c>
      <c r="N4" s="279" t="s">
        <v>215</v>
      </c>
      <c r="O4" s="280" t="s">
        <v>215</v>
      </c>
      <c r="P4" s="281" t="s">
        <v>215</v>
      </c>
      <c r="S4" s="308" t="s">
        <v>213</v>
      </c>
      <c r="T4" s="309" t="s">
        <v>213</v>
      </c>
      <c r="U4" s="310" t="s">
        <v>213</v>
      </c>
      <c r="X4" s="308" t="s">
        <v>214</v>
      </c>
      <c r="Y4" s="309" t="s">
        <v>214</v>
      </c>
      <c r="Z4" s="310" t="s">
        <v>214</v>
      </c>
    </row>
    <row r="5" spans="2:26" ht="75" x14ac:dyDescent="0.25">
      <c r="B5" s="91" t="s">
        <v>4</v>
      </c>
      <c r="C5" s="154" t="s">
        <v>107</v>
      </c>
      <c r="D5" s="154" t="s">
        <v>107</v>
      </c>
      <c r="E5" s="155" t="s">
        <v>107</v>
      </c>
      <c r="F5" s="154" t="s">
        <v>223</v>
      </c>
      <c r="G5" s="136"/>
      <c r="I5" s="297" t="s">
        <v>95</v>
      </c>
      <c r="J5" s="298" t="s">
        <v>97</v>
      </c>
      <c r="K5" s="299" t="s">
        <v>246</v>
      </c>
      <c r="N5" s="297" t="s">
        <v>244</v>
      </c>
      <c r="O5" s="298" t="s">
        <v>245</v>
      </c>
      <c r="P5" s="299" t="s">
        <v>108</v>
      </c>
      <c r="S5" s="300" t="str">
        <f>'Can O&amp;M price indexes'!D4</f>
        <v>(Ontario)
Industrial Labour Index Growth</v>
      </c>
      <c r="T5" s="301" t="str">
        <f>'Can O&amp;M price indexes'!H4</f>
        <v>(Canada)
GDP-IPI FDD Growth</v>
      </c>
      <c r="U5" s="302" t="str">
        <f>'Can O&amp;M price indexes'!M4</f>
        <v>O&amp;M Price Index Growth</v>
      </c>
      <c r="X5" s="297" t="str">
        <f>'US O&amp;M price indexes'!D4</f>
        <v>(USA)
Labour Index Growth</v>
      </c>
      <c r="Y5" s="298" t="str">
        <f>'US O&amp;M price indexes'!F4</f>
        <v>(USA)
GDP-PI Growth</v>
      </c>
      <c r="Z5" s="299" t="str">
        <f>'US O&amp;M price indexes'!J4</f>
        <v>O&amp;M Price Index Growth</v>
      </c>
    </row>
    <row r="6" spans="2:26" ht="15" hidden="1" x14ac:dyDescent="0.3">
      <c r="B6" s="156">
        <v>1991</v>
      </c>
      <c r="C6" s="158"/>
      <c r="D6" s="159"/>
      <c r="E6" s="160"/>
      <c r="F6" s="157"/>
      <c r="G6" s="21"/>
      <c r="I6" s="282"/>
      <c r="J6" s="159"/>
      <c r="K6" s="283"/>
      <c r="N6" s="21"/>
      <c r="O6" s="22"/>
      <c r="P6" s="22"/>
      <c r="S6" s="303"/>
      <c r="T6" s="304"/>
      <c r="U6" s="283"/>
      <c r="X6" s="21"/>
      <c r="Y6" s="22"/>
      <c r="Z6" s="22"/>
    </row>
    <row r="7" spans="2:26" ht="15" hidden="1" x14ac:dyDescent="0.3">
      <c r="B7" s="156">
        <v>1992</v>
      </c>
      <c r="C7" s="158"/>
      <c r="D7" s="159"/>
      <c r="E7" s="160"/>
      <c r="F7" s="157"/>
      <c r="G7" s="21"/>
      <c r="I7" s="282"/>
      <c r="J7" s="159"/>
      <c r="K7" s="283"/>
      <c r="N7" s="21"/>
      <c r="O7" s="22"/>
      <c r="P7" s="22"/>
      <c r="S7" s="303"/>
      <c r="T7" s="304"/>
      <c r="U7" s="283"/>
      <c r="X7" s="21"/>
      <c r="Y7" s="22"/>
      <c r="Z7" s="22"/>
    </row>
    <row r="8" spans="2:26" ht="15" hidden="1" x14ac:dyDescent="0.3">
      <c r="B8" s="156">
        <v>1993</v>
      </c>
      <c r="C8" s="158"/>
      <c r="D8" s="159"/>
      <c r="E8" s="160"/>
      <c r="F8" s="157"/>
      <c r="G8" s="21"/>
      <c r="I8" s="282"/>
      <c r="J8" s="159"/>
      <c r="K8" s="283"/>
      <c r="N8" s="21"/>
      <c r="O8" s="22"/>
      <c r="P8" s="22"/>
      <c r="S8" s="303"/>
      <c r="T8" s="304"/>
      <c r="U8" s="283"/>
      <c r="X8" s="21"/>
      <c r="Y8" s="22"/>
      <c r="Z8" s="22"/>
    </row>
    <row r="9" spans="2:26" ht="15" hidden="1" x14ac:dyDescent="0.3">
      <c r="B9" s="156">
        <v>1994</v>
      </c>
      <c r="C9" s="158"/>
      <c r="D9" s="159"/>
      <c r="E9" s="160"/>
      <c r="F9" s="157"/>
      <c r="G9" s="21"/>
      <c r="I9" s="282"/>
      <c r="J9" s="159"/>
      <c r="K9" s="283"/>
      <c r="N9" s="21"/>
      <c r="O9" s="22"/>
      <c r="P9" s="22"/>
      <c r="S9" s="303"/>
      <c r="T9" s="304"/>
      <c r="U9" s="283"/>
      <c r="X9" s="21"/>
      <c r="Y9" s="22"/>
      <c r="Z9" s="22"/>
    </row>
    <row r="10" spans="2:26" ht="15" hidden="1" x14ac:dyDescent="0.3">
      <c r="B10" s="156">
        <v>1995</v>
      </c>
      <c r="C10" s="158"/>
      <c r="D10" s="159"/>
      <c r="E10" s="160"/>
      <c r="F10" s="157"/>
      <c r="G10" s="21"/>
      <c r="I10" s="282"/>
      <c r="J10" s="159"/>
      <c r="K10" s="283"/>
      <c r="N10" s="21"/>
      <c r="O10" s="22"/>
      <c r="P10" s="22"/>
      <c r="S10" s="303"/>
      <c r="T10" s="304"/>
      <c r="U10" s="283"/>
      <c r="X10" s="21"/>
      <c r="Y10" s="22"/>
      <c r="Z10" s="22"/>
    </row>
    <row r="11" spans="2:26" ht="15" hidden="1" x14ac:dyDescent="0.3">
      <c r="B11" s="156">
        <v>1996</v>
      </c>
      <c r="C11" s="158"/>
      <c r="D11" s="159"/>
      <c r="E11" s="160"/>
      <c r="F11" s="157"/>
      <c r="G11" s="21"/>
      <c r="I11" s="282"/>
      <c r="J11" s="159"/>
      <c r="K11" s="283"/>
      <c r="N11" s="21"/>
      <c r="O11" s="22"/>
      <c r="P11" s="22"/>
      <c r="S11" s="303"/>
      <c r="T11" s="304"/>
      <c r="U11" s="283"/>
      <c r="X11" s="21"/>
      <c r="Y11" s="22"/>
      <c r="Z11" s="22"/>
    </row>
    <row r="12" spans="2:26" ht="15" hidden="1" x14ac:dyDescent="0.3">
      <c r="B12" s="156">
        <v>1997</v>
      </c>
      <c r="C12" s="158"/>
      <c r="D12" s="159"/>
      <c r="E12" s="160"/>
      <c r="F12" s="157"/>
      <c r="G12" s="21"/>
      <c r="I12" s="282"/>
      <c r="J12" s="159"/>
      <c r="K12" s="283"/>
      <c r="N12" s="21"/>
      <c r="O12" s="22"/>
      <c r="P12" s="22"/>
      <c r="S12" s="303"/>
      <c r="T12" s="304"/>
      <c r="U12" s="283"/>
      <c r="X12" s="21"/>
      <c r="Y12" s="22"/>
      <c r="Z12" s="22"/>
    </row>
    <row r="13" spans="2:26" ht="15" hidden="1" x14ac:dyDescent="0.3">
      <c r="B13" s="156">
        <v>1998</v>
      </c>
      <c r="C13" s="158"/>
      <c r="D13" s="159"/>
      <c r="E13" s="160"/>
      <c r="F13" s="157"/>
      <c r="G13" s="21"/>
      <c r="I13" s="282"/>
      <c r="J13" s="159"/>
      <c r="K13" s="283"/>
      <c r="N13" s="21"/>
      <c r="O13" s="22"/>
      <c r="P13" s="22"/>
      <c r="S13" s="303"/>
      <c r="T13" s="304"/>
      <c r="U13" s="283"/>
      <c r="X13" s="21"/>
      <c r="Y13" s="22"/>
      <c r="Z13" s="22"/>
    </row>
    <row r="14" spans="2:26" ht="15" hidden="1" x14ac:dyDescent="0.3">
      <c r="B14" s="156">
        <v>1999</v>
      </c>
      <c r="C14" s="158"/>
      <c r="D14" s="159"/>
      <c r="E14" s="160"/>
      <c r="F14" s="157"/>
      <c r="G14" s="21"/>
      <c r="I14" s="282"/>
      <c r="J14" s="159"/>
      <c r="K14" s="283"/>
      <c r="N14" s="21"/>
      <c r="O14" s="22"/>
      <c r="P14" s="22"/>
      <c r="S14" s="303"/>
      <c r="T14" s="304"/>
      <c r="U14" s="283"/>
      <c r="X14" s="21"/>
      <c r="Y14" s="22"/>
      <c r="Z14" s="22"/>
    </row>
    <row r="15" spans="2:26" ht="15" hidden="1" x14ac:dyDescent="0.3">
      <c r="B15" s="156">
        <v>2000</v>
      </c>
      <c r="C15" s="158"/>
      <c r="D15" s="159"/>
      <c r="E15" s="160"/>
      <c r="F15" s="157"/>
      <c r="G15" s="21"/>
      <c r="I15" s="282"/>
      <c r="J15" s="159"/>
      <c r="K15" s="283"/>
      <c r="N15" s="21"/>
      <c r="O15" s="22"/>
      <c r="P15" s="22"/>
      <c r="S15" s="303"/>
      <c r="T15" s="304"/>
      <c r="U15" s="283"/>
      <c r="X15" s="21"/>
      <c r="Y15" s="22"/>
      <c r="Z15" s="22"/>
    </row>
    <row r="16" spans="2:26" ht="15" hidden="1" x14ac:dyDescent="0.3">
      <c r="B16" s="156">
        <v>2001</v>
      </c>
      <c r="C16" s="158"/>
      <c r="D16" s="159"/>
      <c r="E16" s="160"/>
      <c r="F16" s="157"/>
      <c r="G16" s="21"/>
      <c r="I16" s="282"/>
      <c r="J16" s="159"/>
      <c r="K16" s="283"/>
      <c r="N16" s="21"/>
      <c r="O16" s="22"/>
      <c r="P16" s="22"/>
      <c r="S16" s="303"/>
      <c r="T16" s="304"/>
      <c r="U16" s="283"/>
      <c r="X16" s="21"/>
      <c r="Y16" s="22"/>
      <c r="Z16" s="22"/>
    </row>
    <row r="17" spans="2:26" ht="15" x14ac:dyDescent="0.3">
      <c r="B17" s="156">
        <v>2002</v>
      </c>
      <c r="C17" s="161">
        <f>K17</f>
        <v>1</v>
      </c>
      <c r="D17" s="159">
        <f>'Can O&amp;M price indexes'!N15</f>
        <v>1</v>
      </c>
      <c r="E17" s="160">
        <f>'US O&amp;M price indexes'!K14</f>
        <v>1</v>
      </c>
      <c r="F17" s="174">
        <f>TFP_dataset!O6/TFP_dataset!O214</f>
        <v>0.22785108411987368</v>
      </c>
      <c r="G17" s="21"/>
      <c r="H17" s="289">
        <f t="shared" ref="H17:H29" si="0">B17</f>
        <v>2002</v>
      </c>
      <c r="I17" s="284">
        <v>1</v>
      </c>
      <c r="J17" s="278">
        <v>1</v>
      </c>
      <c r="K17" s="285">
        <v>1</v>
      </c>
      <c r="L17" s="66"/>
      <c r="M17" s="289">
        <f t="shared" ref="M17:M27" si="1">B17</f>
        <v>2002</v>
      </c>
      <c r="N17" s="292">
        <f t="shared" ref="N17:N29" si="2">$L$1*S17+$L$2*X17</f>
        <v>1</v>
      </c>
      <c r="O17" s="292">
        <f t="shared" ref="O17:O29" si="3">$L$1*T17+$L$2*Y17</f>
        <v>1</v>
      </c>
      <c r="P17" s="293">
        <f t="shared" ref="P17:P29" si="4">$L$1*U17+$L$2*Z17</f>
        <v>1</v>
      </c>
      <c r="R17" s="289">
        <f t="shared" ref="R17:R27" si="5">B17</f>
        <v>2002</v>
      </c>
      <c r="S17" s="303">
        <f>'Can O&amp;M price indexes'!D15</f>
        <v>1</v>
      </c>
      <c r="T17" s="159">
        <f>'Can O&amp;M price indexes'!H15</f>
        <v>1</v>
      </c>
      <c r="U17" s="283">
        <f>'Can O&amp;M price indexes'!M15</f>
        <v>1</v>
      </c>
      <c r="V17" s="66"/>
      <c r="W17" s="311">
        <f t="shared" ref="W17:W27" si="6">B17</f>
        <v>2002</v>
      </c>
      <c r="X17" s="312">
        <f>'US O&amp;M price indexes'!D14</f>
        <v>1</v>
      </c>
      <c r="Y17" s="312">
        <f>'US O&amp;M price indexes'!F14</f>
        <v>1</v>
      </c>
      <c r="Z17" s="313">
        <f>'US O&amp;M price indexes'!J14</f>
        <v>1</v>
      </c>
    </row>
    <row r="18" spans="2:26" ht="15" x14ac:dyDescent="0.3">
      <c r="B18" s="156">
        <v>2003</v>
      </c>
      <c r="C18" s="161">
        <f>K18</f>
        <v>1.0238202306018325</v>
      </c>
      <c r="D18" s="159">
        <f>'Can O&amp;M price indexes'!N16</f>
        <v>1.0216477671655084</v>
      </c>
      <c r="E18" s="160">
        <f>'US O&amp;M price indexes'!K15</f>
        <v>1.024452921630012</v>
      </c>
      <c r="F18" s="174">
        <f>TFP_dataset!O7/TFP_dataset!O215</f>
        <v>0.23304621269884321</v>
      </c>
      <c r="G18" s="21"/>
      <c r="H18" s="290">
        <f t="shared" si="0"/>
        <v>2003</v>
      </c>
      <c r="I18" s="284">
        <f>I17*N18</f>
        <v>1.0265498367710537</v>
      </c>
      <c r="J18" s="278">
        <f t="shared" ref="J18:K26" si="7">J17*O18</f>
        <v>1.0192300115004931</v>
      </c>
      <c r="K18" s="285">
        <f t="shared" si="7"/>
        <v>1.0238202306018325</v>
      </c>
      <c r="M18" s="290">
        <f t="shared" si="1"/>
        <v>2003</v>
      </c>
      <c r="N18" s="161">
        <f t="shared" si="2"/>
        <v>1.0265498367710537</v>
      </c>
      <c r="O18" s="161">
        <f t="shared" si="3"/>
        <v>1.0192300115004931</v>
      </c>
      <c r="P18" s="294">
        <f t="shared" si="4"/>
        <v>1.0238202306018325</v>
      </c>
      <c r="R18" s="290">
        <f t="shared" si="5"/>
        <v>2003</v>
      </c>
      <c r="S18" s="303">
        <f>'Can O&amp;M price indexes'!D16</f>
        <v>1.024631789216031</v>
      </c>
      <c r="T18" s="159">
        <f>'Can O&amp;M price indexes'!H16</f>
        <v>1.0166297117516629</v>
      </c>
      <c r="U18" s="283">
        <f>'Can O&amp;M price indexes'!M16</f>
        <v>1.0216477671655084</v>
      </c>
      <c r="W18" s="314">
        <f t="shared" si="6"/>
        <v>2003</v>
      </c>
      <c r="X18" s="158">
        <f>'US O&amp;M price indexes'!D15</f>
        <v>1.0271084337349399</v>
      </c>
      <c r="Y18" s="158">
        <f>'US O&amp;M price indexes'!F15</f>
        <v>1.0199873021844945</v>
      </c>
      <c r="Z18" s="315">
        <f>'US O&amp;M price indexes'!J15</f>
        <v>1.024452921630012</v>
      </c>
    </row>
    <row r="19" spans="2:26" ht="15" x14ac:dyDescent="0.3">
      <c r="B19" s="156">
        <v>2004</v>
      </c>
      <c r="C19" s="161">
        <f t="shared" ref="C19:C26" si="8">K19</f>
        <v>1.0526468999277974</v>
      </c>
      <c r="D19" s="159">
        <f>'Can O&amp;M price indexes'!N17</f>
        <v>1.046469360323721</v>
      </c>
      <c r="E19" s="160">
        <f>'US O&amp;M price indexes'!K16</f>
        <v>1.054449151296214</v>
      </c>
      <c r="F19" s="174">
        <f>TFP_dataset!O8/TFP_dataset!O216</f>
        <v>0.22010150276544066</v>
      </c>
      <c r="G19" s="21"/>
      <c r="H19" s="290">
        <f t="shared" si="0"/>
        <v>2004</v>
      </c>
      <c r="I19" s="284">
        <f t="shared" ref="I19:I26" si="9">I18*N19</f>
        <v>1.0571297767737042</v>
      </c>
      <c r="J19" s="278">
        <f t="shared" si="7"/>
        <v>1.0451284098819802</v>
      </c>
      <c r="K19" s="285">
        <f t="shared" si="7"/>
        <v>1.0526468999277974</v>
      </c>
      <c r="M19" s="290">
        <f t="shared" si="1"/>
        <v>2004</v>
      </c>
      <c r="N19" s="161">
        <f t="shared" si="2"/>
        <v>1.0297890457017047</v>
      </c>
      <c r="O19" s="161">
        <f t="shared" si="3"/>
        <v>1.0254097682458938</v>
      </c>
      <c r="P19" s="294">
        <f t="shared" si="4"/>
        <v>1.0281559872176189</v>
      </c>
      <c r="R19" s="290">
        <f t="shared" si="5"/>
        <v>2004</v>
      </c>
      <c r="S19" s="303">
        <f>'Can O&amp;M price indexes'!D17</f>
        <v>1.0277190477498011</v>
      </c>
      <c r="T19" s="159">
        <f>'Can O&amp;M price indexes'!H17</f>
        <v>1.0185387131952017</v>
      </c>
      <c r="U19" s="283">
        <f>'Can O&amp;M price indexes'!M17</f>
        <v>1.0242956466562623</v>
      </c>
      <c r="W19" s="314">
        <f t="shared" si="6"/>
        <v>2004</v>
      </c>
      <c r="X19" s="158">
        <f>'US O&amp;M price indexes'!D16</f>
        <v>1.0303918954945348</v>
      </c>
      <c r="Y19" s="158">
        <f>'US O&amp;M price indexes'!F16</f>
        <v>1.0274108398460013</v>
      </c>
      <c r="Z19" s="315">
        <f>'US O&amp;M price indexes'!J16</f>
        <v>1.0292802421984164</v>
      </c>
    </row>
    <row r="20" spans="2:26" ht="15" x14ac:dyDescent="0.3">
      <c r="B20" s="156">
        <v>2005</v>
      </c>
      <c r="C20" s="161">
        <f t="shared" si="8"/>
        <v>1.0837304002971</v>
      </c>
      <c r="D20" s="159">
        <f>'Can O&amp;M price indexes'!N18</f>
        <v>1.0786967724726459</v>
      </c>
      <c r="E20" s="160">
        <f>'US O&amp;M price indexes'!K17</f>
        <v>1.0851966555201973</v>
      </c>
      <c r="F20" s="174">
        <f>TFP_dataset!O9/TFP_dataset!O217</f>
        <v>0.22793721029367725</v>
      </c>
      <c r="G20" s="21"/>
      <c r="H20" s="290">
        <f t="shared" si="0"/>
        <v>2005</v>
      </c>
      <c r="I20" s="284">
        <f t="shared" si="9"/>
        <v>1.0882562678606085</v>
      </c>
      <c r="J20" s="278">
        <f t="shared" si="7"/>
        <v>1.0761385024082464</v>
      </c>
      <c r="K20" s="285">
        <f t="shared" si="7"/>
        <v>1.0837304002971</v>
      </c>
      <c r="M20" s="290">
        <f t="shared" si="1"/>
        <v>2005</v>
      </c>
      <c r="N20" s="161">
        <f t="shared" si="2"/>
        <v>1.0294443423795141</v>
      </c>
      <c r="O20" s="161">
        <f t="shared" si="3"/>
        <v>1.0296710836994356</v>
      </c>
      <c r="P20" s="294">
        <f t="shared" si="4"/>
        <v>1.0295288955597881</v>
      </c>
      <c r="R20" s="290">
        <f t="shared" si="5"/>
        <v>2005</v>
      </c>
      <c r="S20" s="303">
        <f>'Can O&amp;M price indexes'!D18</f>
        <v>1.0363760236183654</v>
      </c>
      <c r="T20" s="159">
        <f>'Can O&amp;M price indexes'!H18</f>
        <v>1.0214132762312633</v>
      </c>
      <c r="U20" s="283">
        <f>'Can O&amp;M price indexes'!M18</f>
        <v>1.0307963265536562</v>
      </c>
      <c r="W20" s="314">
        <f t="shared" si="6"/>
        <v>2005</v>
      </c>
      <c r="X20" s="158">
        <f>'US O&amp;M price indexes'!D17</f>
        <v>1.0274256144890039</v>
      </c>
      <c r="Y20" s="158">
        <f>'US O&amp;M price indexes'!F17</f>
        <v>1.0320760220796121</v>
      </c>
      <c r="Z20" s="315">
        <f>'US O&amp;M price indexes'!J17</f>
        <v>1.0291597790051668</v>
      </c>
    </row>
    <row r="21" spans="2:26" ht="15" x14ac:dyDescent="0.3">
      <c r="B21" s="156">
        <v>2006</v>
      </c>
      <c r="C21" s="161">
        <f t="shared" si="8"/>
        <v>1.1143085687549752</v>
      </c>
      <c r="D21" s="159">
        <f>'Can O&amp;M price indexes'!N19</f>
        <v>1.099250227385117</v>
      </c>
      <c r="E21" s="160">
        <f>'US O&amp;M price indexes'!K18</f>
        <v>1.1187116934259167</v>
      </c>
      <c r="F21" s="174">
        <f>TFP_dataset!O10/TFP_dataset!O218</f>
        <v>0.23569870842290067</v>
      </c>
      <c r="G21" s="21"/>
      <c r="H21" s="290">
        <f t="shared" si="0"/>
        <v>2006</v>
      </c>
      <c r="I21" s="284">
        <f t="shared" si="9"/>
        <v>1.11830076972946</v>
      </c>
      <c r="J21" s="278">
        <f t="shared" si="7"/>
        <v>1.1076022583729355</v>
      </c>
      <c r="K21" s="285">
        <f t="shared" si="7"/>
        <v>1.1143085687549752</v>
      </c>
      <c r="M21" s="290">
        <f t="shared" si="1"/>
        <v>2006</v>
      </c>
      <c r="N21" s="161">
        <f t="shared" si="2"/>
        <v>1.0276079290844937</v>
      </c>
      <c r="O21" s="161">
        <f t="shared" si="3"/>
        <v>1.029237645427868</v>
      </c>
      <c r="P21" s="294">
        <f t="shared" si="4"/>
        <v>1.028215659955181</v>
      </c>
      <c r="R21" s="290">
        <f t="shared" si="5"/>
        <v>2006</v>
      </c>
      <c r="S21" s="303">
        <f>'Can O&amp;M price indexes'!D19</f>
        <v>1.0160479505027069</v>
      </c>
      <c r="T21" s="159">
        <f>'Can O&amp;M price indexes'!H19</f>
        <v>1.0241090146750524</v>
      </c>
      <c r="U21" s="283">
        <f>'Can O&amp;M price indexes'!M19</f>
        <v>1.0190539690457749</v>
      </c>
      <c r="W21" s="314">
        <f t="shared" si="6"/>
        <v>2006</v>
      </c>
      <c r="X21" s="158">
        <f>'US O&amp;M price indexes'!D18</f>
        <v>1.0309745656006042</v>
      </c>
      <c r="Y21" s="158">
        <f>'US O&amp;M price indexes'!F18</f>
        <v>1.0307312671891815</v>
      </c>
      <c r="Z21" s="315">
        <f>'US O&amp;M price indexes'!J18</f>
        <v>1.0308838381829086</v>
      </c>
    </row>
    <row r="22" spans="2:26" ht="15" x14ac:dyDescent="0.3">
      <c r="B22" s="156">
        <v>2007</v>
      </c>
      <c r="C22" s="161">
        <f t="shared" si="8"/>
        <v>1.1487086369464867</v>
      </c>
      <c r="D22" s="159">
        <f>'Can O&amp;M price indexes'!N20</f>
        <v>1.1354504219317154</v>
      </c>
      <c r="E22" s="160">
        <f>'US O&amp;M price indexes'!K19</f>
        <v>1.1525763735895573</v>
      </c>
      <c r="F22" s="174">
        <f>TFP_dataset!O11/TFP_dataset!O219</f>
        <v>0.22869865785028543</v>
      </c>
      <c r="G22" s="21"/>
      <c r="H22" s="290">
        <f t="shared" si="0"/>
        <v>2007</v>
      </c>
      <c r="I22" s="284">
        <f t="shared" si="9"/>
        <v>1.1561512382623456</v>
      </c>
      <c r="J22" s="278">
        <f t="shared" si="7"/>
        <v>1.1362537372933463</v>
      </c>
      <c r="K22" s="285">
        <f t="shared" si="7"/>
        <v>1.1487086369464867</v>
      </c>
      <c r="M22" s="290">
        <f t="shared" si="1"/>
        <v>2007</v>
      </c>
      <c r="N22" s="161">
        <f t="shared" si="2"/>
        <v>1.0338464119469777</v>
      </c>
      <c r="O22" s="161">
        <f t="shared" si="3"/>
        <v>1.0258680213983129</v>
      </c>
      <c r="P22" s="294">
        <f t="shared" si="4"/>
        <v>1.030871222887523</v>
      </c>
      <c r="R22" s="290">
        <f t="shared" si="5"/>
        <v>2007</v>
      </c>
      <c r="S22" s="303">
        <f>'Can O&amp;M price indexes'!D20</f>
        <v>1.0385156993339677</v>
      </c>
      <c r="T22" s="159">
        <f>'Can O&amp;M price indexes'!H20</f>
        <v>1.0235414534288638</v>
      </c>
      <c r="U22" s="283">
        <f>'Can O&amp;M price indexes'!M20</f>
        <v>1.0329317144038359</v>
      </c>
      <c r="W22" s="314">
        <f t="shared" si="6"/>
        <v>2007</v>
      </c>
      <c r="X22" s="158">
        <f>'US O&amp;M price indexes'!D19</f>
        <v>1.032486565705911</v>
      </c>
      <c r="Y22" s="158">
        <f>'US O&amp;M price indexes'!F19</f>
        <v>1.0265455926089984</v>
      </c>
      <c r="Z22" s="315">
        <f>'US O&amp;M price indexes'!J19</f>
        <v>1.0302711416736283</v>
      </c>
    </row>
    <row r="23" spans="2:26" ht="15" x14ac:dyDescent="0.3">
      <c r="B23" s="156">
        <v>2008</v>
      </c>
      <c r="C23" s="161">
        <f t="shared" si="8"/>
        <v>1.1792508922240832</v>
      </c>
      <c r="D23" s="159">
        <f>'Can O&amp;M price indexes'!N21</f>
        <v>1.1628231376944895</v>
      </c>
      <c r="E23" s="160">
        <f>'US O&amp;M price indexes'!K20</f>
        <v>1.184054247945642</v>
      </c>
      <c r="F23" s="174">
        <f>TFP_dataset!O12/TFP_dataset!O220</f>
        <v>0.23762543984604442</v>
      </c>
      <c r="G23" s="21"/>
      <c r="H23" s="290">
        <f t="shared" si="0"/>
        <v>2008</v>
      </c>
      <c r="I23" s="284">
        <f t="shared" si="9"/>
        <v>1.1908956139265279</v>
      </c>
      <c r="J23" s="278">
        <f t="shared" si="7"/>
        <v>1.1598470388543238</v>
      </c>
      <c r="K23" s="285">
        <f t="shared" si="7"/>
        <v>1.1792508922240832</v>
      </c>
      <c r="M23" s="290">
        <f t="shared" si="1"/>
        <v>2008</v>
      </c>
      <c r="N23" s="161">
        <f t="shared" si="2"/>
        <v>1.0300517566511471</v>
      </c>
      <c r="O23" s="161">
        <f t="shared" si="3"/>
        <v>1.0207641134956165</v>
      </c>
      <c r="P23" s="294">
        <f t="shared" si="4"/>
        <v>1.0265883395451647</v>
      </c>
      <c r="R23" s="290">
        <f t="shared" si="5"/>
        <v>2008</v>
      </c>
      <c r="S23" s="303">
        <f>'Can O&amp;M price indexes'!D21</f>
        <v>1.0235765504941303</v>
      </c>
      <c r="T23" s="159">
        <f>'Can O&amp;M price indexes'!H21</f>
        <v>1.0249999999999999</v>
      </c>
      <c r="U23" s="283">
        <f>'Can O&amp;M price indexes'!M21</f>
        <v>1.0241073632402247</v>
      </c>
      <c r="W23" s="314">
        <f t="shared" si="6"/>
        <v>2008</v>
      </c>
      <c r="X23" s="158">
        <f>'US O&amp;M price indexes'!D20</f>
        <v>1.0319375443577006</v>
      </c>
      <c r="Y23" s="158">
        <f>'US O&amp;M price indexes'!F20</f>
        <v>1.0195304874916526</v>
      </c>
      <c r="Z23" s="315">
        <f>'US O&amp;M price indexes'!J20</f>
        <v>1.0273108794153489</v>
      </c>
    </row>
    <row r="24" spans="2:26" ht="15" x14ac:dyDescent="0.3">
      <c r="B24" s="156">
        <v>2009</v>
      </c>
      <c r="C24" s="161">
        <f t="shared" si="8"/>
        <v>1.2013610146269948</v>
      </c>
      <c r="D24" s="159">
        <f>'Can O&amp;M price indexes'!N22</f>
        <v>1.177420350781766</v>
      </c>
      <c r="E24" s="160">
        <f>'US O&amp;M price indexes'!K21</f>
        <v>1.2083910392257591</v>
      </c>
      <c r="F24" s="174">
        <f>TFP_dataset!O13/TFP_dataset!O221</f>
        <v>0.23676533742475953</v>
      </c>
      <c r="G24" s="21"/>
      <c r="H24" s="290">
        <f t="shared" si="0"/>
        <v>2009</v>
      </c>
      <c r="I24" s="284">
        <f t="shared" si="9"/>
        <v>1.2204094707560302</v>
      </c>
      <c r="J24" s="278">
        <f t="shared" si="7"/>
        <v>1.1698251092160059</v>
      </c>
      <c r="K24" s="285">
        <f t="shared" si="7"/>
        <v>1.2013610146269948</v>
      </c>
      <c r="M24" s="290">
        <f t="shared" si="1"/>
        <v>2009</v>
      </c>
      <c r="N24" s="161">
        <f t="shared" si="2"/>
        <v>1.0247829083291284</v>
      </c>
      <c r="O24" s="161">
        <f t="shared" si="3"/>
        <v>1.0086029192017754</v>
      </c>
      <c r="P24" s="294">
        <f t="shared" si="4"/>
        <v>1.0187492946146615</v>
      </c>
      <c r="R24" s="290">
        <f t="shared" si="5"/>
        <v>2009</v>
      </c>
      <c r="S24" s="303">
        <f>'Can O&amp;M price indexes'!D22</f>
        <v>1.0130562948288002</v>
      </c>
      <c r="T24" s="159">
        <f>'Can O&amp;M price indexes'!H22</f>
        <v>1.0117073170731707</v>
      </c>
      <c r="U24" s="283">
        <f>'Can O&amp;M price indexes'!M22</f>
        <v>1.0125532530391665</v>
      </c>
      <c r="W24" s="314">
        <f t="shared" si="6"/>
        <v>2009</v>
      </c>
      <c r="X24" s="158">
        <f>'US O&amp;M price indexes'!D21</f>
        <v>1.028198074277854</v>
      </c>
      <c r="Y24" s="158">
        <f>'US O&amp;M price indexes'!F21</f>
        <v>1.0076988189769842</v>
      </c>
      <c r="Z24" s="315">
        <f>'US O&amp;M price indexes'!J21</f>
        <v>1.020553780641674</v>
      </c>
    </row>
    <row r="25" spans="2:26" ht="15" x14ac:dyDescent="0.3">
      <c r="B25" s="156">
        <v>2010</v>
      </c>
      <c r="C25" s="161">
        <f t="shared" si="8"/>
        <v>1.2275959635524438</v>
      </c>
      <c r="D25" s="159">
        <f>'Can O&amp;M price indexes'!N23</f>
        <v>1.2104167536102524</v>
      </c>
      <c r="E25" s="160">
        <f>'US O&amp;M price indexes'!K22</f>
        <v>1.2326022954546594</v>
      </c>
      <c r="F25" s="174">
        <f>TFP_dataset!O14/TFP_dataset!O222</f>
        <v>0.21977972051385733</v>
      </c>
      <c r="G25" s="21"/>
      <c r="H25" s="290">
        <f t="shared" si="0"/>
        <v>2010</v>
      </c>
      <c r="I25" s="284">
        <f t="shared" si="9"/>
        <v>1.2543659545815833</v>
      </c>
      <c r="J25" s="278">
        <f>J24*O25</f>
        <v>1.183595263542301</v>
      </c>
      <c r="K25" s="285">
        <f t="shared" si="7"/>
        <v>1.2275959635524438</v>
      </c>
      <c r="M25" s="290">
        <f t="shared" si="1"/>
        <v>2010</v>
      </c>
      <c r="N25" s="161">
        <f t="shared" si="2"/>
        <v>1.0278238448973338</v>
      </c>
      <c r="O25" s="161">
        <f t="shared" si="3"/>
        <v>1.0117711222111856</v>
      </c>
      <c r="P25" s="294">
        <f t="shared" si="4"/>
        <v>1.0218376895920787</v>
      </c>
      <c r="R25" s="290">
        <f t="shared" si="5"/>
        <v>2010</v>
      </c>
      <c r="S25" s="303">
        <f>'Can O&amp;M price indexes'!D23</f>
        <v>1.0383813394592682</v>
      </c>
      <c r="T25" s="159">
        <f>'Can O&amp;M price indexes'!H23</f>
        <v>1.0106075216972035</v>
      </c>
      <c r="U25" s="283">
        <f>'Can O&amp;M price indexes'!M23</f>
        <v>1.0280243184233888</v>
      </c>
      <c r="W25" s="314">
        <f t="shared" si="6"/>
        <v>2010</v>
      </c>
      <c r="X25" s="158">
        <f>'US O&amp;M price indexes'!D22</f>
        <v>1.0247491638795987</v>
      </c>
      <c r="Y25" s="158">
        <f>'US O&amp;M price indexes'!F22</f>
        <v>1.0121100000000001</v>
      </c>
      <c r="Z25" s="315">
        <f>'US O&amp;M price indexes'!J22</f>
        <v>1.0200359448580594</v>
      </c>
    </row>
    <row r="26" spans="2:26" ht="15" x14ac:dyDescent="0.3">
      <c r="B26" s="156">
        <v>2011</v>
      </c>
      <c r="C26" s="161">
        <f t="shared" si="8"/>
        <v>1.2558568839042634</v>
      </c>
      <c r="D26" s="159">
        <f>'Can O&amp;M price indexes'!N24</f>
        <v>1.2315008058407915</v>
      </c>
      <c r="E26" s="160">
        <f>'US O&amp;M price indexes'!K23</f>
        <v>1.2629896221827595</v>
      </c>
      <c r="F26" s="174">
        <f>TFP_dataset!O15/TFP_dataset!O223</f>
        <v>0.21455820880113402</v>
      </c>
      <c r="G26" s="21"/>
      <c r="H26" s="290">
        <f t="shared" si="0"/>
        <v>2011</v>
      </c>
      <c r="I26" s="284">
        <f t="shared" si="9"/>
        <v>1.2850550151060995</v>
      </c>
      <c r="J26" s="278">
        <f>J25*O26</f>
        <v>1.2079682356860513</v>
      </c>
      <c r="K26" s="285">
        <f t="shared" si="7"/>
        <v>1.2558568839042634</v>
      </c>
      <c r="M26" s="290">
        <f t="shared" si="1"/>
        <v>2011</v>
      </c>
      <c r="N26" s="161">
        <f t="shared" si="2"/>
        <v>1.0244657951791694</v>
      </c>
      <c r="O26" s="161">
        <f t="shared" si="3"/>
        <v>1.0205923197688422</v>
      </c>
      <c r="P26" s="294">
        <f t="shared" si="4"/>
        <v>1.0230213532716721</v>
      </c>
      <c r="R26" s="290">
        <f t="shared" si="5"/>
        <v>2011</v>
      </c>
      <c r="S26" s="303">
        <f>'Can O&amp;M price indexes'!D24</f>
        <v>1.0135915500947323</v>
      </c>
      <c r="T26" s="159">
        <f>'Can O&amp;M price indexes'!H24</f>
        <v>1.0238549618320612</v>
      </c>
      <c r="U26" s="283">
        <f>'Can O&amp;M price indexes'!M24</f>
        <v>1.0174188370804127</v>
      </c>
      <c r="W26" s="314">
        <f t="shared" si="6"/>
        <v>2011</v>
      </c>
      <c r="X26" s="158">
        <f>'US O&amp;M price indexes'!D23</f>
        <v>1.0276327241079199</v>
      </c>
      <c r="Y26" s="158">
        <f>'US O&amp;M price indexes'!F23</f>
        <v>1.0196421337601644</v>
      </c>
      <c r="Z26" s="315">
        <f>'US O&amp;M price indexes'!J23</f>
        <v>1.0246529856711741</v>
      </c>
    </row>
    <row r="27" spans="2:26" ht="15" x14ac:dyDescent="0.3">
      <c r="B27" s="156">
        <v>2012</v>
      </c>
      <c r="C27" s="161">
        <f>K27</f>
        <v>1.2814663107977542</v>
      </c>
      <c r="D27" s="159">
        <f>'Can O&amp;M price indexes'!N25</f>
        <v>1.2501652753742629</v>
      </c>
      <c r="E27" s="160">
        <f>'US O&amp;M price indexes'!K24</f>
        <v>1.2906704663485338</v>
      </c>
      <c r="F27" s="174">
        <f>TFP_dataset!O16/TFP_dataset!O224</f>
        <v>0.21589497078606987</v>
      </c>
      <c r="G27" s="21"/>
      <c r="H27" s="290">
        <f t="shared" si="0"/>
        <v>2012</v>
      </c>
      <c r="I27" s="284">
        <f>I26*N27</f>
        <v>1.3136118096832514</v>
      </c>
      <c r="J27" s="278">
        <f>J26*O27</f>
        <v>1.2288832229836264</v>
      </c>
      <c r="K27" s="285">
        <f>K26*P27</f>
        <v>1.2814663107977542</v>
      </c>
      <c r="L27" s="147"/>
      <c r="M27" s="290">
        <f t="shared" si="1"/>
        <v>2012</v>
      </c>
      <c r="N27" s="161">
        <f t="shared" si="2"/>
        <v>1.0222222350338783</v>
      </c>
      <c r="O27" s="161">
        <f t="shared" si="3"/>
        <v>1.0173141864824755</v>
      </c>
      <c r="P27" s="294">
        <f t="shared" si="4"/>
        <v>1.0203919946784661</v>
      </c>
      <c r="Q27" s="147"/>
      <c r="R27" s="290">
        <f t="shared" si="5"/>
        <v>2012</v>
      </c>
      <c r="S27" s="303">
        <f>'Can O&amp;M price indexes'!D25</f>
        <v>1.0141928118109267</v>
      </c>
      <c r="T27" s="159">
        <f>'Can O&amp;M price indexes'!H25</f>
        <v>1.0167753960857409</v>
      </c>
      <c r="U27" s="283">
        <f>'Can O&amp;M price indexes'!M25</f>
        <v>1.0151558727732448</v>
      </c>
      <c r="V27" s="147"/>
      <c r="W27" s="314">
        <f t="shared" si="6"/>
        <v>2012</v>
      </c>
      <c r="X27" s="158">
        <f>'US O&amp;M price indexes'!D24</f>
        <v>1.0245606605970781</v>
      </c>
      <c r="Y27" s="158">
        <f>'US O&amp;M price indexes'!F24</f>
        <v>1.0174710995261582</v>
      </c>
      <c r="Z27" s="315">
        <f>'US O&amp;M price indexes'!J24</f>
        <v>1.0219169213108299</v>
      </c>
    </row>
    <row r="28" spans="2:26" ht="15" x14ac:dyDescent="0.3">
      <c r="B28" s="156">
        <v>2013</v>
      </c>
      <c r="C28" s="161">
        <f>K28</f>
        <v>1.3089737067869729</v>
      </c>
      <c r="D28" s="159">
        <f>'Can O&amp;M price indexes'!N26</f>
        <v>1.2704232442229755</v>
      </c>
      <c r="E28" s="160">
        <f>'US O&amp;M price indexes'!K25</f>
        <v>1.320353088039588</v>
      </c>
      <c r="F28" s="174">
        <f>TFP_dataset!O17/TFP_dataset!O225</f>
        <v>0.21686012394197948</v>
      </c>
      <c r="G28" s="21"/>
      <c r="H28" s="290">
        <f t="shared" si="0"/>
        <v>2013</v>
      </c>
      <c r="I28" s="284">
        <f>I27*N28</f>
        <v>1.346371064618642</v>
      </c>
      <c r="J28" s="278">
        <f>J27*O28</f>
        <v>1.2480853250098267</v>
      </c>
      <c r="K28" s="285">
        <f>K27*P28</f>
        <v>1.3089737067869729</v>
      </c>
      <c r="M28" s="290">
        <f>B28</f>
        <v>2013</v>
      </c>
      <c r="N28" s="161">
        <f t="shared" si="2"/>
        <v>1.0249383072639167</v>
      </c>
      <c r="O28" s="161">
        <f t="shared" si="3"/>
        <v>1.0156256523541587</v>
      </c>
      <c r="P28" s="294">
        <f t="shared" si="4"/>
        <v>1.0214655631267391</v>
      </c>
      <c r="R28" s="290">
        <f>B28</f>
        <v>2013</v>
      </c>
      <c r="S28" s="303">
        <f>'Can O&amp;M price indexes'!D26</f>
        <v>1.0154841130572019</v>
      </c>
      <c r="T28" s="159">
        <f>'Can O&amp;M price indexes'!H26</f>
        <v>1.0174152153987168</v>
      </c>
      <c r="U28" s="283">
        <f>'Can O&amp;M price indexes'!M26</f>
        <v>1.0162042325504905</v>
      </c>
      <c r="W28" s="314">
        <f>B28</f>
        <v>2013</v>
      </c>
      <c r="X28" s="158">
        <f>'US O&amp;M price indexes'!D25</f>
        <v>1.0276916718330233</v>
      </c>
      <c r="Y28" s="158">
        <f>'US O&amp;M price indexes'!F25</f>
        <v>1.0151044742004913</v>
      </c>
      <c r="Z28" s="315">
        <f>'US O&amp;M price indexes'!J25</f>
        <v>1.0229978313326018</v>
      </c>
    </row>
    <row r="29" spans="2:26" ht="15.75" thickBot="1" x14ac:dyDescent="0.35">
      <c r="B29" s="156">
        <v>2014</v>
      </c>
      <c r="C29" s="161">
        <f>K29</f>
        <v>1.3397224634267082</v>
      </c>
      <c r="D29" s="159">
        <f>'Can O&amp;M price indexes'!N27</f>
        <v>1.296459337573129</v>
      </c>
      <c r="E29" s="160">
        <f>'US O&amp;M price indexes'!K26</f>
        <v>1.3525214754548154</v>
      </c>
      <c r="F29" s="174">
        <f>TFP_dataset!O18/TFP_dataset!O226</f>
        <v>0.2172792437525399</v>
      </c>
      <c r="G29" s="21"/>
      <c r="H29" s="291">
        <f t="shared" si="0"/>
        <v>2014</v>
      </c>
      <c r="I29" s="286">
        <f>I28*N29</f>
        <v>1.3806966585996592</v>
      </c>
      <c r="J29" s="287">
        <f>J28*O29</f>
        <v>1.2731973689268787</v>
      </c>
      <c r="K29" s="288">
        <f>K28*P29</f>
        <v>1.3397224634267082</v>
      </c>
      <c r="M29" s="291">
        <f>B29</f>
        <v>2014</v>
      </c>
      <c r="N29" s="295">
        <f t="shared" si="2"/>
        <v>1.0254948987564136</v>
      </c>
      <c r="O29" s="295">
        <f t="shared" si="3"/>
        <v>1.0201204544383649</v>
      </c>
      <c r="P29" s="296">
        <f t="shared" si="4"/>
        <v>1.0234907366590362</v>
      </c>
      <c r="R29" s="291">
        <f>B29</f>
        <v>2014</v>
      </c>
      <c r="S29" s="305">
        <f>'Can O&amp;M price indexes'!D27</f>
        <v>1.0198235012824415</v>
      </c>
      <c r="T29" s="306">
        <f>'Can O&amp;M price indexes'!H27</f>
        <v>1.0216216216216216</v>
      </c>
      <c r="U29" s="307">
        <f>'Can O&amp;M price indexes'!M27</f>
        <v>1.0204940309999428</v>
      </c>
      <c r="W29" s="316">
        <f>B29</f>
        <v>2014</v>
      </c>
      <c r="X29" s="317">
        <f>'US O&amp;M price indexes'!D26</f>
        <v>1.027146591594611</v>
      </c>
      <c r="Y29" s="317">
        <f>'US O&amp;M price indexes'!F26</f>
        <v>1.0196832664089768</v>
      </c>
      <c r="Z29" s="318">
        <f>'US O&amp;M price indexes'!J26</f>
        <v>1.024363473457687</v>
      </c>
    </row>
    <row r="30" spans="2:26" ht="15.75" thickBot="1" x14ac:dyDescent="0.35">
      <c r="B30" s="176" t="s">
        <v>248</v>
      </c>
      <c r="C30" s="177">
        <f>C58</f>
        <v>2.4371872972118656E-2</v>
      </c>
      <c r="D30" s="177">
        <f>D58</f>
        <v>2.1636413522948452E-2</v>
      </c>
      <c r="E30" s="178">
        <f>E58</f>
        <v>2.5164217496034522E-2</v>
      </c>
      <c r="F30" s="175">
        <f>AVERAGE(F17:F27)</f>
        <v>0.22708700486571692</v>
      </c>
    </row>
    <row r="31" spans="2:26" x14ac:dyDescent="0.25">
      <c r="I31" s="9"/>
      <c r="J31" s="9"/>
      <c r="K31" s="9"/>
    </row>
    <row r="32" spans="2:26" x14ac:dyDescent="0.25">
      <c r="C32" s="308" t="s">
        <v>215</v>
      </c>
      <c r="D32" s="309" t="s">
        <v>213</v>
      </c>
      <c r="E32" s="310" t="s">
        <v>214</v>
      </c>
    </row>
    <row r="33" spans="2:5" ht="75" x14ac:dyDescent="0.25">
      <c r="B33" s="321" t="s">
        <v>4</v>
      </c>
      <c r="C33" s="301" t="s">
        <v>242</v>
      </c>
      <c r="D33" s="301" t="s">
        <v>242</v>
      </c>
      <c r="E33" s="302" t="s">
        <v>242</v>
      </c>
    </row>
    <row r="34" spans="2:5" hidden="1" x14ac:dyDescent="0.25">
      <c r="B34" s="184">
        <v>1991</v>
      </c>
      <c r="C34" s="158"/>
      <c r="D34" s="159"/>
      <c r="E34" s="315"/>
    </row>
    <row r="35" spans="2:5" hidden="1" x14ac:dyDescent="0.25">
      <c r="B35" s="184">
        <v>1992</v>
      </c>
      <c r="C35" s="158"/>
      <c r="D35" s="159"/>
      <c r="E35" s="315"/>
    </row>
    <row r="36" spans="2:5" hidden="1" x14ac:dyDescent="0.25">
      <c r="B36" s="184">
        <v>1993</v>
      </c>
      <c r="C36" s="158"/>
      <c r="D36" s="159"/>
      <c r="E36" s="315"/>
    </row>
    <row r="37" spans="2:5" hidden="1" x14ac:dyDescent="0.25">
      <c r="B37" s="184">
        <v>1994</v>
      </c>
      <c r="C37" s="158"/>
      <c r="D37" s="159"/>
      <c r="E37" s="315"/>
    </row>
    <row r="38" spans="2:5" hidden="1" x14ac:dyDescent="0.25">
      <c r="B38" s="184">
        <v>1995</v>
      </c>
      <c r="C38" s="158"/>
      <c r="D38" s="159"/>
      <c r="E38" s="315"/>
    </row>
    <row r="39" spans="2:5" hidden="1" x14ac:dyDescent="0.25">
      <c r="B39" s="184">
        <v>1996</v>
      </c>
      <c r="C39" s="158"/>
      <c r="D39" s="159"/>
      <c r="E39" s="315"/>
    </row>
    <row r="40" spans="2:5" hidden="1" x14ac:dyDescent="0.25">
      <c r="B40" s="184">
        <v>1997</v>
      </c>
      <c r="C40" s="158"/>
      <c r="D40" s="159"/>
      <c r="E40" s="315"/>
    </row>
    <row r="41" spans="2:5" hidden="1" x14ac:dyDescent="0.25">
      <c r="B41" s="184">
        <v>1998</v>
      </c>
      <c r="C41" s="158"/>
      <c r="D41" s="159"/>
      <c r="E41" s="315"/>
    </row>
    <row r="42" spans="2:5" hidden="1" x14ac:dyDescent="0.25">
      <c r="B42" s="184">
        <v>1999</v>
      </c>
      <c r="C42" s="158"/>
      <c r="D42" s="159"/>
      <c r="E42" s="315"/>
    </row>
    <row r="43" spans="2:5" hidden="1" x14ac:dyDescent="0.25">
      <c r="B43" s="184">
        <v>2000</v>
      </c>
      <c r="C43" s="158"/>
      <c r="D43" s="159"/>
      <c r="E43" s="315"/>
    </row>
    <row r="44" spans="2:5" hidden="1" x14ac:dyDescent="0.25">
      <c r="B44" s="184">
        <v>2001</v>
      </c>
      <c r="C44" s="158"/>
      <c r="D44" s="159"/>
      <c r="E44" s="315"/>
    </row>
    <row r="45" spans="2:5" x14ac:dyDescent="0.25">
      <c r="B45" s="184">
        <v>2002</v>
      </c>
      <c r="C45" s="161"/>
      <c r="D45" s="159"/>
      <c r="E45" s="315"/>
    </row>
    <row r="46" spans="2:5" x14ac:dyDescent="0.25">
      <c r="B46" s="184">
        <v>2003</v>
      </c>
      <c r="C46" s="141">
        <f>LN(C18/C17)</f>
        <v>2.3540955152650429E-2</v>
      </c>
      <c r="D46" s="141">
        <f>LN(D18/D17)</f>
        <v>2.1416781852885459E-2</v>
      </c>
      <c r="E46" s="322">
        <f>LN(E18/E17)</f>
        <v>2.4158735108036223E-2</v>
      </c>
    </row>
    <row r="47" spans="2:5" x14ac:dyDescent="0.25">
      <c r="B47" s="184">
        <v>2004</v>
      </c>
      <c r="C47" s="141">
        <f t="shared" ref="C47:E55" si="10">LN(C19/C18)</f>
        <v>2.7766894060385568E-2</v>
      </c>
      <c r="D47" s="141">
        <f t="shared" si="10"/>
        <v>2.4005202384213276E-2</v>
      </c>
      <c r="E47" s="322">
        <f t="shared" si="10"/>
        <v>2.8859763989106637E-2</v>
      </c>
    </row>
    <row r="48" spans="2:5" x14ac:dyDescent="0.25">
      <c r="B48" s="184">
        <v>2005</v>
      </c>
      <c r="C48" s="141">
        <f t="shared" si="10"/>
        <v>2.9101314658394477E-2</v>
      </c>
      <c r="D48" s="141">
        <f t="shared" si="10"/>
        <v>3.0331636104872561E-2</v>
      </c>
      <c r="E48" s="322">
        <f t="shared" si="10"/>
        <v>2.8742720798975951E-2</v>
      </c>
    </row>
    <row r="49" spans="2:5" x14ac:dyDescent="0.25">
      <c r="B49" s="184">
        <v>2006</v>
      </c>
      <c r="C49" s="141">
        <f t="shared" si="10"/>
        <v>2.7824930979598029E-2</v>
      </c>
      <c r="D49" s="141">
        <f t="shared" si="10"/>
        <v>1.8874715591569873E-2</v>
      </c>
      <c r="E49" s="322">
        <f t="shared" si="10"/>
        <v>3.041652961144244E-2</v>
      </c>
    </row>
    <row r="50" spans="2:5" x14ac:dyDescent="0.25">
      <c r="B50" s="184">
        <v>2007</v>
      </c>
      <c r="C50" s="141">
        <f t="shared" si="10"/>
        <v>3.0404292177787964E-2</v>
      </c>
      <c r="D50" s="141">
        <f t="shared" si="10"/>
        <v>3.2401083793605553E-2</v>
      </c>
      <c r="E50" s="322">
        <f t="shared" si="10"/>
        <v>2.9822011942160255E-2</v>
      </c>
    </row>
    <row r="51" spans="2:5" x14ac:dyDescent="0.25">
      <c r="B51" s="184">
        <v>2008</v>
      </c>
      <c r="C51" s="141">
        <f t="shared" si="10"/>
        <v>2.6241012756127498E-2</v>
      </c>
      <c r="D51" s="141">
        <f t="shared" si="10"/>
        <v>2.3821368035544386E-2</v>
      </c>
      <c r="E51" s="322">
        <f t="shared" si="10"/>
        <v>2.6944591484158818E-2</v>
      </c>
    </row>
    <row r="52" spans="2:5" x14ac:dyDescent="0.25">
      <c r="B52" s="184">
        <v>2009</v>
      </c>
      <c r="C52" s="141">
        <f t="shared" si="10"/>
        <v>1.8575693169909403E-2</v>
      </c>
      <c r="D52" s="141">
        <f t="shared" si="10"/>
        <v>1.2475114209695947E-2</v>
      </c>
      <c r="E52" s="322">
        <f t="shared" si="10"/>
        <v>2.0345402164965967E-2</v>
      </c>
    </row>
    <row r="53" spans="2:5" x14ac:dyDescent="0.25">
      <c r="B53" s="184">
        <v>2010</v>
      </c>
      <c r="C53" s="141">
        <f t="shared" si="10"/>
        <v>2.160266272273851E-2</v>
      </c>
      <c r="D53" s="141">
        <f t="shared" si="10"/>
        <v>2.7638822807053508E-2</v>
      </c>
      <c r="E53" s="322">
        <f t="shared" si="10"/>
        <v>1.9837866732184448E-2</v>
      </c>
    </row>
    <row r="54" spans="2:5" x14ac:dyDescent="0.25">
      <c r="B54" s="184">
        <v>2011</v>
      </c>
      <c r="C54" s="141">
        <f t="shared" si="10"/>
        <v>2.2760359939987734E-2</v>
      </c>
      <c r="D54" s="141">
        <f t="shared" si="10"/>
        <v>1.7268868155919496E-2</v>
      </c>
      <c r="E54" s="322">
        <f t="shared" si="10"/>
        <v>2.435400470448313E-2</v>
      </c>
    </row>
    <row r="55" spans="2:5" x14ac:dyDescent="0.25">
      <c r="B55" s="184">
        <v>2012</v>
      </c>
      <c r="C55" s="141">
        <f>LN(C27/C26)</f>
        <v>2.0186861976879467E-2</v>
      </c>
      <c r="D55" s="141">
        <f t="shared" si="10"/>
        <v>1.5042169937926779E-2</v>
      </c>
      <c r="E55" s="322">
        <f t="shared" si="10"/>
        <v>2.1680198174762202E-2</v>
      </c>
    </row>
    <row r="56" spans="2:5" x14ac:dyDescent="0.25">
      <c r="B56" s="184">
        <v>2013</v>
      </c>
      <c r="C56" s="141">
        <f>LN(C28/C27)</f>
        <v>2.1238422643387961E-2</v>
      </c>
      <c r="D56" s="141">
        <f>LN(D28/D27)</f>
        <v>1.6074345245075755E-2</v>
      </c>
      <c r="E56" s="322">
        <f>LN(E28/E27)</f>
        <v>2.2737367057762265E-2</v>
      </c>
    </row>
    <row r="57" spans="2:5" x14ac:dyDescent="0.25">
      <c r="B57" s="184">
        <v>2014</v>
      </c>
      <c r="C57" s="141">
        <f>LN(C29/C28)</f>
        <v>2.3219075427576823E-2</v>
      </c>
      <c r="D57" s="141">
        <f>LN(D29/D28)</f>
        <v>2.0286854157018835E-2</v>
      </c>
      <c r="E57" s="322">
        <f>LN(E29/E28)</f>
        <v>2.4071418184375977E-2</v>
      </c>
    </row>
    <row r="58" spans="2:5" ht="15" x14ac:dyDescent="0.3">
      <c r="B58" s="308" t="s">
        <v>96</v>
      </c>
      <c r="C58" s="323">
        <f>AVERAGE(C46:C57)</f>
        <v>2.4371872972118656E-2</v>
      </c>
      <c r="D58" s="323">
        <f>AVERAGE(D46:D57)</f>
        <v>2.1636413522948452E-2</v>
      </c>
      <c r="E58" s="324">
        <f>AVERAGE(E46:E57)</f>
        <v>2.5164217496034522E-2</v>
      </c>
    </row>
  </sheetData>
  <mergeCells count="1">
    <mergeCell ref="N3:Z3"/>
  </mergeCells>
  <phoneticPr fontId="114"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8"/>
  <sheetViews>
    <sheetView showGridLines="0" view="pageLayout" zoomScaleSheetLayoutView="100" workbookViewId="0">
      <selection activeCell="C4" sqref="C4"/>
    </sheetView>
  </sheetViews>
  <sheetFormatPr defaultColWidth="8.85546875" defaultRowHeight="12.75" x14ac:dyDescent="0.2"/>
  <cols>
    <col min="1" max="1" width="2.85546875" customWidth="1"/>
    <col min="3" max="4" width="21" customWidth="1"/>
    <col min="5" max="5" width="21" hidden="1" customWidth="1"/>
    <col min="6" max="6" width="24" hidden="1" customWidth="1"/>
    <col min="7" max="7" width="24" customWidth="1"/>
    <col min="8" max="8" width="20.28515625" customWidth="1"/>
    <col min="9" max="9" width="9.140625" customWidth="1"/>
    <col min="10" max="10" width="11.85546875" customWidth="1"/>
    <col min="11" max="11" width="10.7109375" hidden="1" customWidth="1"/>
    <col min="12" max="12" width="10.7109375" customWidth="1"/>
    <col min="13" max="13" width="9.140625" customWidth="1"/>
    <col min="14" max="14" width="10.7109375" customWidth="1"/>
    <col min="19" max="21" width="9.140625" customWidth="1"/>
  </cols>
  <sheetData>
    <row r="1" spans="2:21" ht="13.5" thickBot="1" x14ac:dyDescent="0.25">
      <c r="B1" s="18" t="s">
        <v>32</v>
      </c>
      <c r="G1" s="332" t="s">
        <v>33</v>
      </c>
      <c r="H1" s="326">
        <f>'EUCG L share'!$E$34</f>
        <v>0.62709408102958719</v>
      </c>
    </row>
    <row r="2" spans="2:21" x14ac:dyDescent="0.2">
      <c r="B2" s="18" t="s">
        <v>587</v>
      </c>
      <c r="G2" s="332" t="s">
        <v>34</v>
      </c>
      <c r="H2" s="327">
        <f>1-H1</f>
        <v>0.37290591897041281</v>
      </c>
      <c r="J2" s="18" t="s">
        <v>112</v>
      </c>
      <c r="K2" s="18" t="s">
        <v>112</v>
      </c>
      <c r="L2" s="18" t="s">
        <v>111</v>
      </c>
      <c r="M2" s="18" t="s">
        <v>175</v>
      </c>
      <c r="N2" s="162" t="s">
        <v>175</v>
      </c>
      <c r="O2" s="163" t="s">
        <v>175</v>
      </c>
    </row>
    <row r="3" spans="2:21" x14ac:dyDescent="0.2">
      <c r="J3" t="s">
        <v>100</v>
      </c>
      <c r="K3" t="s">
        <v>101</v>
      </c>
      <c r="L3" s="18" t="s">
        <v>35</v>
      </c>
      <c r="M3" s="18" t="s">
        <v>216</v>
      </c>
      <c r="N3" s="164" t="s">
        <v>216</v>
      </c>
      <c r="O3" s="165" t="s">
        <v>216</v>
      </c>
    </row>
    <row r="4" spans="2:21" ht="90" x14ac:dyDescent="0.2">
      <c r="B4" s="321" t="s">
        <v>4</v>
      </c>
      <c r="C4" s="301" t="s">
        <v>169</v>
      </c>
      <c r="D4" s="301" t="s">
        <v>170</v>
      </c>
      <c r="E4" s="325" t="s">
        <v>171</v>
      </c>
      <c r="F4" s="325" t="s">
        <v>172</v>
      </c>
      <c r="G4" s="301" t="s">
        <v>173</v>
      </c>
      <c r="H4" s="302" t="s">
        <v>174</v>
      </c>
      <c r="J4" s="300" t="s">
        <v>102</v>
      </c>
      <c r="K4" s="325" t="s">
        <v>95</v>
      </c>
      <c r="L4" s="301" t="s">
        <v>97</v>
      </c>
      <c r="M4" s="301" t="s">
        <v>108</v>
      </c>
      <c r="N4" s="166" t="s">
        <v>107</v>
      </c>
      <c r="O4" s="155" t="s">
        <v>243</v>
      </c>
      <c r="Q4" s="77" t="s">
        <v>4</v>
      </c>
      <c r="R4" s="77" t="s">
        <v>224</v>
      </c>
      <c r="S4" s="77" t="s">
        <v>225</v>
      </c>
      <c r="T4" s="77" t="s">
        <v>166</v>
      </c>
    </row>
    <row r="5" spans="2:21" ht="15" hidden="1" x14ac:dyDescent="0.3">
      <c r="B5" s="184">
        <v>1991</v>
      </c>
      <c r="C5" s="158">
        <f>'StatsCan CANSIM tables'!$T$31</f>
        <v>575.90333333333331</v>
      </c>
      <c r="D5" s="159"/>
      <c r="E5" s="158">
        <f>'StatsCan CANSIM tables'!$U$31</f>
        <v>854.09999999999991</v>
      </c>
      <c r="F5" s="159"/>
      <c r="G5" s="158">
        <f>'StatsCan CANSIM tables'!C101</f>
        <v>74.8</v>
      </c>
      <c r="H5" s="283"/>
      <c r="J5" s="303"/>
      <c r="K5" s="304"/>
      <c r="L5" s="304"/>
      <c r="M5" s="159"/>
      <c r="N5" s="167"/>
      <c r="O5" s="168"/>
    </row>
    <row r="6" spans="2:21" ht="15" hidden="1" x14ac:dyDescent="0.3">
      <c r="B6" s="184">
        <v>1992</v>
      </c>
      <c r="C6" s="158">
        <f>'StatsCan CANSIM tables'!$T$32</f>
        <v>598.56916666666666</v>
      </c>
      <c r="D6" s="159">
        <f>C6/C5</f>
        <v>1.0393570101463787</v>
      </c>
      <c r="E6" s="158">
        <f>'StatsCan CANSIM tables'!$U$32</f>
        <v>892.54</v>
      </c>
      <c r="F6" s="159">
        <f>E6/E5</f>
        <v>1.0450064395269876</v>
      </c>
      <c r="G6" s="158">
        <f>'StatsCan CANSIM tables'!C102</f>
        <v>76.3</v>
      </c>
      <c r="H6" s="283">
        <f>G6/G5</f>
        <v>1.0200534759358288</v>
      </c>
      <c r="J6" s="303"/>
      <c r="K6" s="304"/>
      <c r="L6" s="304"/>
      <c r="M6" s="159">
        <f t="shared" ref="M6:M25" si="0">D6*$H$1+H6*$H$2</f>
        <v>1.0321586079822167</v>
      </c>
      <c r="N6" s="167"/>
      <c r="O6" s="168"/>
      <c r="P6" s="85"/>
    </row>
    <row r="7" spans="2:21" ht="15" hidden="1" x14ac:dyDescent="0.3">
      <c r="B7" s="184">
        <v>1993</v>
      </c>
      <c r="C7" s="158">
        <f>'StatsCan CANSIM tables'!$T$33</f>
        <v>612.10833333333335</v>
      </c>
      <c r="D7" s="159">
        <f t="shared" ref="D7:F25" si="1">C7/C6</f>
        <v>1.0226192183303795</v>
      </c>
      <c r="E7" s="158">
        <f>'StatsCan CANSIM tables'!$U$33</f>
        <v>896.30416666666667</v>
      </c>
      <c r="F7" s="159">
        <f t="shared" si="1"/>
        <v>1.0042173646745991</v>
      </c>
      <c r="G7" s="158">
        <f>'StatsCan CANSIM tables'!C103</f>
        <v>77.7</v>
      </c>
      <c r="H7" s="283">
        <f t="shared" ref="H7:H25" si="2">G7/G6</f>
        <v>1.0183486238532111</v>
      </c>
      <c r="J7" s="303"/>
      <c r="K7" s="304"/>
      <c r="L7" s="304"/>
      <c r="M7" s="159">
        <f t="shared" si="0"/>
        <v>1.0210266883723211</v>
      </c>
      <c r="N7" s="167"/>
      <c r="O7" s="168"/>
      <c r="P7" s="85"/>
    </row>
    <row r="8" spans="2:21" ht="15" hidden="1" x14ac:dyDescent="0.3">
      <c r="B8" s="184">
        <v>1994</v>
      </c>
      <c r="C8" s="158">
        <f>'StatsCan CANSIM tables'!$T$34</f>
        <v>627.87250000000006</v>
      </c>
      <c r="D8" s="159">
        <f t="shared" si="1"/>
        <v>1.0257538834356663</v>
      </c>
      <c r="E8" s="158">
        <f>'StatsCan CANSIM tables'!$U$34</f>
        <v>921.54916666666668</v>
      </c>
      <c r="F8" s="159">
        <f t="shared" si="1"/>
        <v>1.0281656617684658</v>
      </c>
      <c r="G8" s="158">
        <f>'StatsCan CANSIM tables'!C104</f>
        <v>79</v>
      </c>
      <c r="H8" s="283">
        <f t="shared" si="2"/>
        <v>1.0167310167310166</v>
      </c>
      <c r="J8" s="303"/>
      <c r="K8" s="304"/>
      <c r="L8" s="304"/>
      <c r="M8" s="159">
        <f t="shared" si="0"/>
        <v>1.0223892030354214</v>
      </c>
      <c r="N8" s="167"/>
      <c r="O8" s="168"/>
      <c r="P8" s="85"/>
    </row>
    <row r="9" spans="2:21" ht="15" hidden="1" x14ac:dyDescent="0.3">
      <c r="B9" s="184">
        <v>1995</v>
      </c>
      <c r="C9" s="158">
        <f>'StatsCan CANSIM tables'!$T$35</f>
        <v>633.98</v>
      </c>
      <c r="D9" s="159">
        <f t="shared" si="1"/>
        <v>1.0097272933597186</v>
      </c>
      <c r="E9" s="158">
        <f>'StatsCan CANSIM tables'!$U$35</f>
        <v>936.69999999999993</v>
      </c>
      <c r="F9" s="159">
        <f t="shared" si="1"/>
        <v>1.0164406131342241</v>
      </c>
      <c r="G9" s="158">
        <f>'StatsCan CANSIM tables'!C105</f>
        <v>79.900000000000006</v>
      </c>
      <c r="H9" s="283">
        <f t="shared" si="2"/>
        <v>1.0113924050632912</v>
      </c>
      <c r="J9" s="303"/>
      <c r="K9" s="304"/>
      <c r="L9" s="304"/>
      <c r="M9" s="159">
        <f t="shared" si="0"/>
        <v>1.0103482233697276</v>
      </c>
      <c r="N9" s="167"/>
      <c r="O9" s="168"/>
      <c r="P9" s="85"/>
    </row>
    <row r="10" spans="2:21" ht="15" hidden="1" x14ac:dyDescent="0.3">
      <c r="B10" s="184">
        <v>1996</v>
      </c>
      <c r="C10" s="158">
        <f>'StatsCan CANSIM tables'!$T$36</f>
        <v>649.29166666666663</v>
      </c>
      <c r="D10" s="159">
        <f t="shared" si="1"/>
        <v>1.0241516556778867</v>
      </c>
      <c r="E10" s="158">
        <f>'StatsCan CANSIM tables'!$U$36</f>
        <v>939.75083333333316</v>
      </c>
      <c r="F10" s="159">
        <f t="shared" si="1"/>
        <v>1.0032570015301945</v>
      </c>
      <c r="G10" s="158">
        <f>'StatsCan CANSIM tables'!C106</f>
        <v>80.8</v>
      </c>
      <c r="H10" s="283">
        <f t="shared" si="2"/>
        <v>1.0112640801001251</v>
      </c>
      <c r="J10" s="303"/>
      <c r="K10" s="304"/>
      <c r="L10" s="304"/>
      <c r="M10" s="159">
        <f t="shared" si="0"/>
        <v>1.0193458024637607</v>
      </c>
      <c r="N10" s="167"/>
      <c r="O10" s="168"/>
      <c r="P10" s="85"/>
    </row>
    <row r="11" spans="2:21" ht="15" hidden="1" x14ac:dyDescent="0.3">
      <c r="B11" s="184">
        <v>1997</v>
      </c>
      <c r="C11" s="158">
        <f>'StatsCan CANSIM tables'!$T$37</f>
        <v>663.50749999999994</v>
      </c>
      <c r="D11" s="159">
        <f t="shared" si="1"/>
        <v>1.0218943720721299</v>
      </c>
      <c r="E11" s="158">
        <f>'StatsCan CANSIM tables'!$U$37</f>
        <v>987.87166666666656</v>
      </c>
      <c r="F11" s="159">
        <f t="shared" si="1"/>
        <v>1.0512059490946626</v>
      </c>
      <c r="G11" s="158">
        <f>'StatsCan CANSIM tables'!C107</f>
        <v>82</v>
      </c>
      <c r="H11" s="283">
        <f t="shared" si="2"/>
        <v>1.0148514851485149</v>
      </c>
      <c r="J11" s="303"/>
      <c r="K11" s="304"/>
      <c r="L11" s="304"/>
      <c r="M11" s="159">
        <f t="shared" si="0"/>
        <v>1.0192680378516745</v>
      </c>
      <c r="N11" s="167"/>
      <c r="O11" s="168"/>
      <c r="P11" s="85"/>
    </row>
    <row r="12" spans="2:21" ht="15" hidden="1" x14ac:dyDescent="0.3">
      <c r="B12" s="184">
        <v>1998</v>
      </c>
      <c r="C12" s="158">
        <f>'StatsCan CANSIM tables'!$T$38</f>
        <v>672.53000000000009</v>
      </c>
      <c r="D12" s="159">
        <f t="shared" si="1"/>
        <v>1.0135981884153535</v>
      </c>
      <c r="E12" s="158">
        <f>'StatsCan CANSIM tables'!$U$38</f>
        <v>1033.2300000000002</v>
      </c>
      <c r="F12" s="159">
        <f t="shared" si="1"/>
        <v>1.0459152082844774</v>
      </c>
      <c r="G12" s="158">
        <f>'StatsCan CANSIM tables'!C108</f>
        <v>83.2</v>
      </c>
      <c r="H12" s="283">
        <f t="shared" si="2"/>
        <v>1.0146341463414634</v>
      </c>
      <c r="J12" s="303"/>
      <c r="K12" s="304"/>
      <c r="L12" s="304"/>
      <c r="M12" s="159">
        <f t="shared" si="0"/>
        <v>1.0139845032578043</v>
      </c>
      <c r="N12" s="167"/>
      <c r="O12" s="168"/>
      <c r="P12" s="85"/>
    </row>
    <row r="13" spans="2:21" ht="15" hidden="1" x14ac:dyDescent="0.3">
      <c r="B13" s="184">
        <v>1999</v>
      </c>
      <c r="C13" s="158">
        <f>'StatsCan CANSIM tables'!$T$39</f>
        <v>683.48416666666662</v>
      </c>
      <c r="D13" s="159">
        <f t="shared" si="1"/>
        <v>1.0162879970658061</v>
      </c>
      <c r="E13" s="158">
        <f>'StatsCan CANSIM tables'!$U$39</f>
        <v>1050.1099999999999</v>
      </c>
      <c r="F13" s="159">
        <f t="shared" si="1"/>
        <v>1.0163371175827256</v>
      </c>
      <c r="G13" s="158">
        <f>'StatsCan CANSIM tables'!C109</f>
        <v>84.4</v>
      </c>
      <c r="H13" s="283">
        <f t="shared" si="2"/>
        <v>1.0144230769230769</v>
      </c>
      <c r="J13" s="303"/>
      <c r="K13" s="304"/>
      <c r="L13" s="304"/>
      <c r="M13" s="159">
        <f t="shared" si="0"/>
        <v>1.0155925573061753</v>
      </c>
      <c r="N13" s="167"/>
      <c r="O13" s="168"/>
      <c r="P13" s="85"/>
    </row>
    <row r="14" spans="2:21" ht="15" hidden="1" x14ac:dyDescent="0.3">
      <c r="B14" s="184">
        <v>2000</v>
      </c>
      <c r="C14" s="158">
        <f>'StatsCan CANSIM tables'!$T$40</f>
        <v>699.92833333333317</v>
      </c>
      <c r="D14" s="159">
        <f t="shared" si="1"/>
        <v>1.0240593234907902</v>
      </c>
      <c r="E14" s="158">
        <f>'StatsCan CANSIM tables'!$U$40</f>
        <v>1067.9816666666668</v>
      </c>
      <c r="F14" s="159">
        <f t="shared" si="1"/>
        <v>1.0170188519932835</v>
      </c>
      <c r="G14" s="158">
        <f>'StatsCan CANSIM tables'!C110</f>
        <v>86.5</v>
      </c>
      <c r="H14" s="283">
        <f t="shared" si="2"/>
        <v>1.0248815165876777</v>
      </c>
      <c r="J14" s="303"/>
      <c r="K14" s="304"/>
      <c r="L14" s="304"/>
      <c r="M14" s="159">
        <f t="shared" si="0"/>
        <v>1.0243659241631562</v>
      </c>
      <c r="N14" s="167"/>
      <c r="O14" s="168"/>
      <c r="P14" s="85"/>
    </row>
    <row r="15" spans="2:21" ht="15" x14ac:dyDescent="0.3">
      <c r="B15" s="184">
        <v>2002</v>
      </c>
      <c r="C15" s="158">
        <f>'StatsCan CANSIM tables'!$C27</f>
        <v>710.87</v>
      </c>
      <c r="D15" s="159">
        <v>1</v>
      </c>
      <c r="E15" s="158">
        <f>'StatsCan CANSIM tables'!$D$27</f>
        <v>1385.59</v>
      </c>
      <c r="F15" s="159" t="e">
        <f>E15/#REF!</f>
        <v>#REF!</v>
      </c>
      <c r="G15" s="158">
        <f>'StatsCan CANSIM tables'!C112</f>
        <v>90.2</v>
      </c>
      <c r="H15" s="283">
        <v>1</v>
      </c>
      <c r="J15" s="328">
        <v>1</v>
      </c>
      <c r="K15" s="159">
        <v>1</v>
      </c>
      <c r="L15" s="304">
        <v>1</v>
      </c>
      <c r="M15" s="159">
        <f t="shared" si="0"/>
        <v>1</v>
      </c>
      <c r="N15" s="169">
        <v>1</v>
      </c>
      <c r="O15" s="168"/>
      <c r="P15" s="85"/>
      <c r="Q15" s="1">
        <f t="shared" ref="Q15:Q27" si="3">B15</f>
        <v>2002</v>
      </c>
      <c r="R15" s="124">
        <f>'EUCG L share'!E21</f>
        <v>0</v>
      </c>
      <c r="S15" s="105">
        <f>D15*$R15+H15*(1-R15)</f>
        <v>1</v>
      </c>
      <c r="T15" s="105">
        <v>1</v>
      </c>
      <c r="U15" s="1"/>
    </row>
    <row r="16" spans="2:21" ht="15" x14ac:dyDescent="0.3">
      <c r="B16" s="184">
        <v>2003</v>
      </c>
      <c r="C16" s="158">
        <f>'StatsCan CANSIM tables'!$C28</f>
        <v>728.38</v>
      </c>
      <c r="D16" s="159">
        <f t="shared" si="1"/>
        <v>1.024631789216031</v>
      </c>
      <c r="E16" s="158">
        <f>'StatsCan CANSIM tables'!$D$28</f>
        <v>1441.31</v>
      </c>
      <c r="F16" s="159">
        <f t="shared" si="1"/>
        <v>1.0402139160935053</v>
      </c>
      <c r="G16" s="158">
        <f>'StatsCan CANSIM tables'!C113</f>
        <v>91.7</v>
      </c>
      <c r="H16" s="283">
        <f t="shared" si="2"/>
        <v>1.0166297117516629</v>
      </c>
      <c r="J16" s="328">
        <f t="shared" ref="J16:J25" si="4">J15*D16</f>
        <v>1.024631789216031</v>
      </c>
      <c r="K16" s="159">
        <f t="shared" ref="K16:K25" si="5">K15*F16</f>
        <v>1.0402139160935053</v>
      </c>
      <c r="L16" s="304">
        <f t="shared" ref="L16:L25" si="6">L15*H16</f>
        <v>1.0166297117516629</v>
      </c>
      <c r="M16" s="159">
        <f t="shared" si="0"/>
        <v>1.0216477671655084</v>
      </c>
      <c r="N16" s="169">
        <f t="shared" ref="N16:N25" si="7">N15*M16</f>
        <v>1.0216477671655084</v>
      </c>
      <c r="O16" s="142">
        <f>LN(N16/N15)</f>
        <v>2.1416781852885459E-2</v>
      </c>
      <c r="P16" s="85"/>
      <c r="Q16" s="1">
        <f t="shared" si="3"/>
        <v>2003</v>
      </c>
      <c r="R16" s="124">
        <f>'EUCG L share'!E22</f>
        <v>0</v>
      </c>
      <c r="S16" s="105">
        <f t="shared" ref="S16:S27" si="8">D16*AVERAGE(R15:R16)+H16*(1-AVERAGE(R15:R16))</f>
        <v>1.0166297117516629</v>
      </c>
      <c r="T16" s="105">
        <f>T15*S16</f>
        <v>1.0166297117516629</v>
      </c>
      <c r="U16" s="140">
        <f>LN(T16/T15)</f>
        <v>1.6492952193841167E-2</v>
      </c>
    </row>
    <row r="17" spans="2:21" ht="15" x14ac:dyDescent="0.3">
      <c r="B17" s="184">
        <v>2004</v>
      </c>
      <c r="C17" s="158">
        <f>'StatsCan CANSIM tables'!$C29</f>
        <v>748.57</v>
      </c>
      <c r="D17" s="159">
        <f t="shared" si="1"/>
        <v>1.0277190477498011</v>
      </c>
      <c r="E17" s="158">
        <f>'StatsCan CANSIM tables'!$D$29</f>
        <v>1420.13</v>
      </c>
      <c r="F17" s="159">
        <f t="shared" si="1"/>
        <v>0.98530503500287947</v>
      </c>
      <c r="G17" s="158">
        <f>'StatsCan CANSIM tables'!C114</f>
        <v>93.4</v>
      </c>
      <c r="H17" s="283">
        <f t="shared" si="2"/>
        <v>1.0185387131952017</v>
      </c>
      <c r="J17" s="328">
        <f t="shared" si="4"/>
        <v>1.0530336067072743</v>
      </c>
      <c r="K17" s="159">
        <f t="shared" si="5"/>
        <v>1.0249280090069937</v>
      </c>
      <c r="L17" s="304">
        <f t="shared" si="6"/>
        <v>1.0354767184035476</v>
      </c>
      <c r="M17" s="159">
        <f t="shared" si="0"/>
        <v>1.0242956466562623</v>
      </c>
      <c r="N17" s="169">
        <f t="shared" si="7"/>
        <v>1.046469360323721</v>
      </c>
      <c r="O17" s="142">
        <f t="shared" ref="O17:O25" si="9">LN(N17/N16)</f>
        <v>2.4005202384213276E-2</v>
      </c>
      <c r="P17" s="85"/>
      <c r="Q17" s="1">
        <f t="shared" si="3"/>
        <v>2004</v>
      </c>
      <c r="R17" s="124">
        <f>'EUCG L share'!E23</f>
        <v>0.60445579215659795</v>
      </c>
      <c r="S17" s="105">
        <f t="shared" si="8"/>
        <v>1.0213132663929332</v>
      </c>
      <c r="T17" s="105">
        <f t="shared" ref="T17:T25" si="10">T16*S17</f>
        <v>1.0382974116211969</v>
      </c>
      <c r="U17" s="140">
        <f t="shared" ref="U17:U25" si="11">LN(T17/T16)</f>
        <v>2.1089315229616809E-2</v>
      </c>
    </row>
    <row r="18" spans="2:21" ht="15" x14ac:dyDescent="0.3">
      <c r="B18" s="184">
        <v>2005</v>
      </c>
      <c r="C18" s="158">
        <f>'StatsCan CANSIM tables'!$C30</f>
        <v>775.8</v>
      </c>
      <c r="D18" s="159">
        <f t="shared" si="1"/>
        <v>1.0363760236183654</v>
      </c>
      <c r="E18" s="158">
        <f>'StatsCan CANSIM tables'!$D$30</f>
        <v>1449.84</v>
      </c>
      <c r="F18" s="159">
        <f t="shared" si="1"/>
        <v>1.0209206199432446</v>
      </c>
      <c r="G18" s="158">
        <f>'StatsCan CANSIM tables'!C115</f>
        <v>95.4</v>
      </c>
      <c r="H18" s="283">
        <f t="shared" si="2"/>
        <v>1.0214132762312633</v>
      </c>
      <c r="J18" s="328">
        <f t="shared" si="4"/>
        <v>1.0913387820557907</v>
      </c>
      <c r="K18" s="159">
        <f t="shared" si="5"/>
        <v>1.0463701383526154</v>
      </c>
      <c r="L18" s="304">
        <f t="shared" si="6"/>
        <v>1.0576496674057649</v>
      </c>
      <c r="M18" s="159">
        <f t="shared" si="0"/>
        <v>1.0307963265536562</v>
      </c>
      <c r="N18" s="169">
        <f t="shared" si="7"/>
        <v>1.0786967724726459</v>
      </c>
      <c r="O18" s="142">
        <f t="shared" si="9"/>
        <v>3.0331636104872561E-2</v>
      </c>
      <c r="P18" s="85"/>
      <c r="Q18" s="1">
        <f t="shared" si="3"/>
        <v>2005</v>
      </c>
      <c r="R18" s="124">
        <f>'EUCG L share'!E24</f>
        <v>0.6299519507624024</v>
      </c>
      <c r="S18" s="105">
        <f t="shared" si="8"/>
        <v>1.0306483418462533</v>
      </c>
      <c r="T18" s="105">
        <f t="shared" si="10"/>
        <v>1.0701195056306434</v>
      </c>
      <c r="U18" s="140">
        <f t="shared" si="11"/>
        <v>3.018806231904602E-2</v>
      </c>
    </row>
    <row r="19" spans="2:21" ht="15" x14ac:dyDescent="0.3">
      <c r="B19" s="184">
        <v>2006</v>
      </c>
      <c r="C19" s="158">
        <f>'StatsCan CANSIM tables'!$C31</f>
        <v>788.25</v>
      </c>
      <c r="D19" s="159">
        <f t="shared" si="1"/>
        <v>1.0160479505027069</v>
      </c>
      <c r="E19" s="158">
        <f>'StatsCan CANSIM tables'!$D$31</f>
        <v>1488.34</v>
      </c>
      <c r="F19" s="159">
        <f t="shared" si="1"/>
        <v>1.0265546543066821</v>
      </c>
      <c r="G19" s="158">
        <f>'StatsCan CANSIM tables'!C116</f>
        <v>97.7</v>
      </c>
      <c r="H19" s="283">
        <f t="shared" si="2"/>
        <v>1.0241090146750524</v>
      </c>
      <c r="J19" s="328">
        <f t="shared" si="4"/>
        <v>1.1088525328119065</v>
      </c>
      <c r="K19" s="159">
        <f t="shared" si="5"/>
        <v>1.0741561356534042</v>
      </c>
      <c r="L19" s="304">
        <f t="shared" si="6"/>
        <v>1.0831485587583149</v>
      </c>
      <c r="M19" s="159">
        <f t="shared" si="0"/>
        <v>1.0190539690457749</v>
      </c>
      <c r="N19" s="169">
        <f t="shared" si="7"/>
        <v>1.099250227385117</v>
      </c>
      <c r="O19" s="142">
        <f t="shared" si="9"/>
        <v>1.8874715591569873E-2</v>
      </c>
      <c r="P19" s="85"/>
      <c r="Q19" s="1">
        <f t="shared" si="3"/>
        <v>2006</v>
      </c>
      <c r="R19" s="124">
        <f>'EUCG L share'!E25</f>
        <v>0.60894898592160929</v>
      </c>
      <c r="S19" s="105">
        <f t="shared" si="8"/>
        <v>1.0191155846981581</v>
      </c>
      <c r="T19" s="105">
        <f t="shared" si="10"/>
        <v>1.0905754656776769</v>
      </c>
      <c r="U19" s="140">
        <f t="shared" si="11"/>
        <v>1.8935177344900207E-2</v>
      </c>
    </row>
    <row r="20" spans="2:21" ht="15" x14ac:dyDescent="0.3">
      <c r="B20" s="184">
        <v>2007</v>
      </c>
      <c r="C20" s="158">
        <f>'StatsCan CANSIM tables'!$C32</f>
        <v>818.61</v>
      </c>
      <c r="D20" s="159">
        <f t="shared" si="1"/>
        <v>1.0385156993339677</v>
      </c>
      <c r="E20" s="158">
        <f>'StatsCan CANSIM tables'!$D$32</f>
        <v>1577.41</v>
      </c>
      <c r="F20" s="159">
        <f t="shared" si="1"/>
        <v>1.0598451966620532</v>
      </c>
      <c r="G20" s="158">
        <f>'StatsCan CANSIM tables'!C117</f>
        <v>100</v>
      </c>
      <c r="H20" s="283">
        <f t="shared" si="2"/>
        <v>1.0235414534288638</v>
      </c>
      <c r="J20" s="328">
        <f t="shared" si="4"/>
        <v>1.1515607635713985</v>
      </c>
      <c r="K20" s="159">
        <f t="shared" si="5"/>
        <v>1.1384392208373333</v>
      </c>
      <c r="L20" s="304">
        <f t="shared" si="6"/>
        <v>1.1086474501108647</v>
      </c>
      <c r="M20" s="159">
        <f t="shared" si="0"/>
        <v>1.0329317144038359</v>
      </c>
      <c r="N20" s="169">
        <f t="shared" si="7"/>
        <v>1.1354504219317154</v>
      </c>
      <c r="O20" s="142">
        <f t="shared" si="9"/>
        <v>3.2401083793605553E-2</v>
      </c>
      <c r="P20" s="85"/>
      <c r="Q20" s="1">
        <f t="shared" si="3"/>
        <v>2007</v>
      </c>
      <c r="R20" s="124">
        <f>'EUCG L share'!E26</f>
        <v>0.61306700211317211</v>
      </c>
      <c r="S20" s="105">
        <f t="shared" si="8"/>
        <v>1.0326908373812644</v>
      </c>
      <c r="T20" s="105">
        <f t="shared" si="10"/>
        <v>1.1262272908781426</v>
      </c>
      <c r="U20" s="140">
        <f t="shared" si="11"/>
        <v>3.2167859167494497E-2</v>
      </c>
    </row>
    <row r="21" spans="2:21" ht="15" x14ac:dyDescent="0.3">
      <c r="B21" s="184">
        <v>2008</v>
      </c>
      <c r="C21" s="158">
        <f>'StatsCan CANSIM tables'!$C33</f>
        <v>837.91</v>
      </c>
      <c r="D21" s="159">
        <f t="shared" si="1"/>
        <v>1.0235765504941303</v>
      </c>
      <c r="E21" s="158">
        <f>'StatsCan CANSIM tables'!$D$33</f>
        <v>1544.3</v>
      </c>
      <c r="F21" s="159">
        <f t="shared" si="1"/>
        <v>0.97900989596870813</v>
      </c>
      <c r="G21" s="158">
        <f>'StatsCan CANSIM tables'!C118</f>
        <v>102.5</v>
      </c>
      <c r="H21" s="283">
        <f t="shared" si="2"/>
        <v>1.0249999999999999</v>
      </c>
      <c r="J21" s="328">
        <f t="shared" si="4"/>
        <v>1.1787105940607989</v>
      </c>
      <c r="K21" s="159">
        <f t="shared" si="5"/>
        <v>1.1145432631586547</v>
      </c>
      <c r="L21" s="304">
        <f t="shared" si="6"/>
        <v>1.1363636363636362</v>
      </c>
      <c r="M21" s="159">
        <f t="shared" si="0"/>
        <v>1.0241073632402247</v>
      </c>
      <c r="N21" s="169">
        <f t="shared" si="7"/>
        <v>1.1628231376944895</v>
      </c>
      <c r="O21" s="142">
        <f t="shared" si="9"/>
        <v>2.3821368035544386E-2</v>
      </c>
      <c r="P21" s="85"/>
      <c r="Q21" s="1">
        <f t="shared" si="3"/>
        <v>2008</v>
      </c>
      <c r="R21" s="124">
        <f>'EUCG L share'!E27</f>
        <v>0.60069739532944366</v>
      </c>
      <c r="S21" s="105">
        <f t="shared" si="8"/>
        <v>1.0241361338341091</v>
      </c>
      <c r="T21" s="105">
        <f t="shared" si="10"/>
        <v>1.1534100634984035</v>
      </c>
      <c r="U21" s="140">
        <f t="shared" si="11"/>
        <v>2.3849460978524441E-2</v>
      </c>
    </row>
    <row r="22" spans="2:21" ht="15" x14ac:dyDescent="0.3">
      <c r="B22" s="184">
        <v>2009</v>
      </c>
      <c r="C22" s="158">
        <f>'StatsCan CANSIM tables'!$C34</f>
        <v>848.85</v>
      </c>
      <c r="D22" s="159">
        <f t="shared" si="1"/>
        <v>1.0130562948288002</v>
      </c>
      <c r="E22" s="158">
        <f>'StatsCan CANSIM tables'!$D$34</f>
        <v>1672.72</v>
      </c>
      <c r="F22" s="159">
        <f t="shared" si="1"/>
        <v>1.0831574176002072</v>
      </c>
      <c r="G22" s="158">
        <f>'StatsCan CANSIM tables'!C119</f>
        <v>103.7</v>
      </c>
      <c r="H22" s="283">
        <f t="shared" si="2"/>
        <v>1.0117073170731707</v>
      </c>
      <c r="J22" s="328">
        <f t="shared" si="4"/>
        <v>1.194100187094687</v>
      </c>
      <c r="K22" s="159">
        <f t="shared" si="5"/>
        <v>1.2072258027266367</v>
      </c>
      <c r="L22" s="304">
        <f t="shared" si="6"/>
        <v>1.1496674057649667</v>
      </c>
      <c r="M22" s="159">
        <f t="shared" si="0"/>
        <v>1.0125532530391665</v>
      </c>
      <c r="N22" s="169">
        <f t="shared" si="7"/>
        <v>1.177420350781766</v>
      </c>
      <c r="O22" s="142">
        <f t="shared" si="9"/>
        <v>1.2475114209695947E-2</v>
      </c>
      <c r="P22" s="85"/>
      <c r="Q22" s="1">
        <f t="shared" si="3"/>
        <v>2009</v>
      </c>
      <c r="R22" s="124">
        <f>'EUCG L share'!E28</f>
        <v>0.62115919688781018</v>
      </c>
      <c r="S22" s="105">
        <f t="shared" si="8"/>
        <v>1.0125314457549059</v>
      </c>
      <c r="T22" s="105">
        <f t="shared" si="10"/>
        <v>1.1678639591422963</v>
      </c>
      <c r="U22" s="140">
        <f t="shared" si="11"/>
        <v>1.2453577051991453E-2</v>
      </c>
    </row>
    <row r="23" spans="2:21" ht="15" x14ac:dyDescent="0.3">
      <c r="B23" s="184">
        <v>2010</v>
      </c>
      <c r="C23" s="158">
        <f>'StatsCan CANSIM tables'!$C35</f>
        <v>881.43</v>
      </c>
      <c r="D23" s="159">
        <f t="shared" si="1"/>
        <v>1.0383813394592682</v>
      </c>
      <c r="E23" s="158">
        <f>'StatsCan CANSIM tables'!$D$35</f>
        <v>1680.01</v>
      </c>
      <c r="F23" s="159">
        <f t="shared" si="1"/>
        <v>1.0043581711224832</v>
      </c>
      <c r="G23" s="158">
        <f>'StatsCan CANSIM tables'!C120</f>
        <v>104.8</v>
      </c>
      <c r="H23" s="283">
        <f t="shared" si="2"/>
        <v>1.0106075216972035</v>
      </c>
      <c r="J23" s="328">
        <f t="shared" si="4"/>
        <v>1.2399313517239439</v>
      </c>
      <c r="K23" s="159">
        <f t="shared" si="5"/>
        <v>1.2124870993583965</v>
      </c>
      <c r="L23" s="304">
        <f t="shared" si="6"/>
        <v>1.1618625277161863</v>
      </c>
      <c r="M23" s="159">
        <f t="shared" si="0"/>
        <v>1.0280243184233888</v>
      </c>
      <c r="N23" s="169">
        <f t="shared" si="7"/>
        <v>1.2104167536102524</v>
      </c>
      <c r="O23" s="142">
        <f>LN(N23/N22)</f>
        <v>2.7638822807053508E-2</v>
      </c>
      <c r="P23" s="85"/>
      <c r="Q23" s="1">
        <f t="shared" si="3"/>
        <v>2010</v>
      </c>
      <c r="R23" s="124">
        <f>'EUCG L share'!E29</f>
        <v>0.65393733292566514</v>
      </c>
      <c r="S23" s="105">
        <f t="shared" si="8"/>
        <v>1.0283146710212439</v>
      </c>
      <c r="T23" s="105">
        <f t="shared" si="10"/>
        <v>1.2009316429429779</v>
      </c>
      <c r="U23" s="140">
        <f t="shared" si="11"/>
        <v>2.7921220409078309E-2</v>
      </c>
    </row>
    <row r="24" spans="2:21" ht="15" x14ac:dyDescent="0.3">
      <c r="B24" s="184">
        <v>2011</v>
      </c>
      <c r="C24" s="158">
        <f>'StatsCan CANSIM tables'!$C36</f>
        <v>893.41</v>
      </c>
      <c r="D24" s="159">
        <f t="shared" si="1"/>
        <v>1.0135915500947323</v>
      </c>
      <c r="E24" s="158">
        <f>'StatsCan CANSIM tables'!$D$36</f>
        <v>1714.92</v>
      </c>
      <c r="F24" s="159">
        <f t="shared" si="1"/>
        <v>1.0207796382164391</v>
      </c>
      <c r="G24" s="158">
        <f>'StatsCan CANSIM tables'!C121</f>
        <v>107.3</v>
      </c>
      <c r="H24" s="283">
        <f t="shared" si="2"/>
        <v>1.0238549618320612</v>
      </c>
      <c r="J24" s="328">
        <f t="shared" si="4"/>
        <v>1.2567839408049291</v>
      </c>
      <c r="K24" s="159">
        <f t="shared" si="5"/>
        <v>1.2376821426251636</v>
      </c>
      <c r="L24" s="304">
        <f t="shared" si="6"/>
        <v>1.189578713968958</v>
      </c>
      <c r="M24" s="159">
        <f t="shared" si="0"/>
        <v>1.0174188370804127</v>
      </c>
      <c r="N24" s="169">
        <f t="shared" si="7"/>
        <v>1.2315008058407915</v>
      </c>
      <c r="O24" s="142">
        <f t="shared" si="9"/>
        <v>1.7268868155919496E-2</v>
      </c>
      <c r="P24" s="85"/>
      <c r="Q24" s="1">
        <f t="shared" si="3"/>
        <v>2011</v>
      </c>
      <c r="R24" s="124">
        <f>'EUCG L share'!E30</f>
        <v>0.63266651684835484</v>
      </c>
      <c r="S24" s="105">
        <f t="shared" si="8"/>
        <v>1.0172524893055295</v>
      </c>
      <c r="T24" s="105">
        <f t="shared" si="10"/>
        <v>1.2216507032695236</v>
      </c>
      <c r="U24" s="140">
        <f t="shared" si="11"/>
        <v>1.7105354989840404E-2</v>
      </c>
    </row>
    <row r="25" spans="2:21" ht="15" x14ac:dyDescent="0.3">
      <c r="B25" s="184">
        <v>2012</v>
      </c>
      <c r="C25" s="158">
        <f>'StatsCan CANSIM tables'!$C37</f>
        <v>906.09</v>
      </c>
      <c r="D25" s="159">
        <f t="shared" si="1"/>
        <v>1.0141928118109267</v>
      </c>
      <c r="E25" s="158">
        <f>'StatsCan CANSIM tables'!$D$37</f>
        <v>1707.11</v>
      </c>
      <c r="F25" s="159">
        <f t="shared" si="1"/>
        <v>0.99544585170153699</v>
      </c>
      <c r="G25" s="158">
        <f>'StatsCan CANSIM tables'!C122</f>
        <v>109.1</v>
      </c>
      <c r="H25" s="283">
        <f t="shared" si="2"/>
        <v>1.0167753960857409</v>
      </c>
      <c r="J25" s="328">
        <f t="shared" si="4"/>
        <v>1.2746212387637683</v>
      </c>
      <c r="K25" s="159">
        <f t="shared" si="5"/>
        <v>1.2320455546012892</v>
      </c>
      <c r="L25" s="304">
        <f t="shared" si="6"/>
        <v>1.2095343680709534</v>
      </c>
      <c r="M25" s="159">
        <f t="shared" si="0"/>
        <v>1.0151558727732448</v>
      </c>
      <c r="N25" s="169">
        <f t="shared" si="7"/>
        <v>1.2501652753742629</v>
      </c>
      <c r="O25" s="142">
        <f t="shared" si="9"/>
        <v>1.5042169937926779E-2</v>
      </c>
      <c r="P25" s="85"/>
      <c r="Q25" s="1">
        <f t="shared" si="3"/>
        <v>2012</v>
      </c>
      <c r="R25" s="124">
        <f>'EUCG L share'!E31</f>
        <v>0.65340959143339117</v>
      </c>
      <c r="S25" s="105">
        <f t="shared" si="8"/>
        <v>1.0151146961190096</v>
      </c>
      <c r="T25" s="105">
        <f t="shared" si="10"/>
        <v>1.2401155824130168</v>
      </c>
      <c r="U25" s="140">
        <f t="shared" si="11"/>
        <v>1.5001607212079545E-2</v>
      </c>
    </row>
    <row r="26" spans="2:21" ht="15" x14ac:dyDescent="0.3">
      <c r="B26" s="184">
        <v>2013</v>
      </c>
      <c r="C26" s="158">
        <f>'StatsCan CANSIM tables'!$C38</f>
        <v>920.12</v>
      </c>
      <c r="D26" s="159">
        <f>C26/C25</f>
        <v>1.0154841130572019</v>
      </c>
      <c r="E26" s="158">
        <f>'StatsCan CANSIM tables'!$D$37</f>
        <v>1707.11</v>
      </c>
      <c r="F26" s="159">
        <f>E26/E25</f>
        <v>1</v>
      </c>
      <c r="G26" s="158">
        <f>'StatsCan CANSIM tables'!C123</f>
        <v>111</v>
      </c>
      <c r="H26" s="283">
        <f>G26/G25</f>
        <v>1.0174152153987168</v>
      </c>
      <c r="J26" s="328">
        <f>J25*D26</f>
        <v>1.2943576181298972</v>
      </c>
      <c r="K26" s="159">
        <f>K25*F26</f>
        <v>1.2320455546012892</v>
      </c>
      <c r="L26" s="304">
        <f>L25*H26</f>
        <v>1.23059866962306</v>
      </c>
      <c r="M26" s="159">
        <f>D26*$H$1+H26*$H$2</f>
        <v>1.0162042325504905</v>
      </c>
      <c r="N26" s="169">
        <f>N25*M26</f>
        <v>1.2704232442229755</v>
      </c>
      <c r="O26" s="142">
        <f>LN(N26/N25)</f>
        <v>1.6074345245075755E-2</v>
      </c>
      <c r="P26" s="85"/>
      <c r="Q26" s="1">
        <f t="shared" si="3"/>
        <v>2013</v>
      </c>
      <c r="R26" s="124">
        <f>'EUCG L share'!E32</f>
        <v>0.63782007263824037</v>
      </c>
      <c r="S26" s="105">
        <f t="shared" si="8"/>
        <v>1.0161684670848556</v>
      </c>
      <c r="T26" s="105">
        <f>T25*S26</f>
        <v>1.2601663503886782</v>
      </c>
      <c r="U26" s="140">
        <f>LN(T26/T25)</f>
        <v>1.6039149470555663E-2</v>
      </c>
    </row>
    <row r="27" spans="2:21" ht="15" x14ac:dyDescent="0.3">
      <c r="B27" s="185">
        <v>2014</v>
      </c>
      <c r="C27" s="317">
        <f>'StatsCan CANSIM tables'!$C39</f>
        <v>938.36</v>
      </c>
      <c r="D27" s="306">
        <f>C27/C26</f>
        <v>1.0198235012824415</v>
      </c>
      <c r="E27" s="317">
        <f>'StatsCan CANSIM tables'!$D$37</f>
        <v>1707.11</v>
      </c>
      <c r="F27" s="306">
        <f>E27/E26</f>
        <v>1</v>
      </c>
      <c r="G27" s="317">
        <f>'StatsCan CANSIM tables'!C124</f>
        <v>113.4</v>
      </c>
      <c r="H27" s="307">
        <f>G27/G26</f>
        <v>1.0216216216216216</v>
      </c>
      <c r="J27" s="328">
        <f>J26*D27</f>
        <v>1.3200163180328333</v>
      </c>
      <c r="K27" s="159">
        <f>K26*F27</f>
        <v>1.2320455546012892</v>
      </c>
      <c r="L27" s="304">
        <f>L26*H27</f>
        <v>1.2572062084257207</v>
      </c>
      <c r="M27" s="159">
        <f>D27*$H$1+H27*$H$2</f>
        <v>1.0204940309999428</v>
      </c>
      <c r="N27" s="169">
        <f>N26*M27</f>
        <v>1.296459337573129</v>
      </c>
      <c r="O27" s="142">
        <f>LN(N27/N26)</f>
        <v>2.0286854157018835E-2</v>
      </c>
      <c r="P27" s="85"/>
      <c r="Q27" s="1">
        <f t="shared" si="3"/>
        <v>2014</v>
      </c>
      <c r="R27" s="124">
        <f>'EUCG L share'!E33</f>
        <v>0.641921054308773</v>
      </c>
      <c r="S27" s="105">
        <f t="shared" si="8"/>
        <v>1.0204710573469973</v>
      </c>
      <c r="T27" s="105">
        <f>T26*S27</f>
        <v>1.2859632880142411</v>
      </c>
      <c r="U27" s="140">
        <f>LN(T27/T26)</f>
        <v>2.0264341618144253E-2</v>
      </c>
    </row>
    <row r="28" spans="2:21" ht="15.75" thickBot="1" x14ac:dyDescent="0.35">
      <c r="J28" s="329"/>
      <c r="K28" s="330"/>
      <c r="L28" s="330"/>
      <c r="M28" s="59"/>
      <c r="N28" s="170"/>
      <c r="O28" s="171">
        <f>AVERAGE(O16:O27)</f>
        <v>2.1636413522948452E-2</v>
      </c>
      <c r="R28" s="1"/>
      <c r="S28" s="1"/>
      <c r="T28" s="1"/>
      <c r="U28" s="143">
        <f>AVERAGE(U16:U27)</f>
        <v>2.0959006498759397E-2</v>
      </c>
    </row>
  </sheetData>
  <phoneticPr fontId="114" type="noConversion"/>
  <pageMargins left="0.7" right="0.7" top="0.75" bottom="0.75" header="0.3" footer="0.3"/>
  <pageSetup scale="83" orientation="landscape" r:id="rId1"/>
  <headerFooter>
    <oddHeader>&amp;CFiled: 2016-10-26, EB-2016-0152
Exhibit L, Tab 11.1 Schedule 1 Staff-246</oddHeader>
  </headerFooter>
  <ignoredErrors>
    <ignoredError sqref="E6 E7:E14 G6:G14 E15:E25 G15 G16:G27" formula="1"/>
  </ignoredErrors>
  <legacyDrawing r:id="rId2"/>
  <extLst>
    <ext xmlns:mx="http://schemas.microsoft.com/office/mac/excel/2008/main" uri="{64002731-A6B0-56B0-2670-7721B7C09600}">
      <mx:PLV Mode="1"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view="pageLayout" workbookViewId="0">
      <selection activeCell="I31" sqref="I31"/>
    </sheetView>
  </sheetViews>
  <sheetFormatPr defaultColWidth="8.85546875" defaultRowHeight="12.75" x14ac:dyDescent="0.2"/>
  <cols>
    <col min="1" max="1" width="2.85546875" customWidth="1"/>
    <col min="3" max="4" width="21" customWidth="1"/>
    <col min="5" max="5" width="24" customWidth="1"/>
    <col min="6" max="6" width="20.28515625" customWidth="1"/>
    <col min="7" max="7" width="17.140625" customWidth="1"/>
    <col min="8" max="8" width="11.85546875" customWidth="1"/>
    <col min="9" max="9" width="10.7109375" customWidth="1"/>
    <col min="11" max="11" width="10.7109375" customWidth="1"/>
  </cols>
  <sheetData>
    <row r="1" spans="2:12" ht="13.5" thickBot="1" x14ac:dyDescent="0.25">
      <c r="B1" s="18" t="s">
        <v>176</v>
      </c>
      <c r="E1" s="18" t="s">
        <v>33</v>
      </c>
      <c r="F1" s="84">
        <f>'EUCG L share'!$E$34</f>
        <v>0.62709408102958719</v>
      </c>
    </row>
    <row r="2" spans="2:12" x14ac:dyDescent="0.2">
      <c r="B2" s="18" t="s">
        <v>588</v>
      </c>
      <c r="E2" s="18" t="s">
        <v>34</v>
      </c>
      <c r="F2" s="19">
        <f>1-F1</f>
        <v>0.37290591897041281</v>
      </c>
      <c r="H2" s="18" t="s">
        <v>177</v>
      </c>
      <c r="I2" s="18" t="s">
        <v>177</v>
      </c>
      <c r="J2" s="18" t="s">
        <v>177</v>
      </c>
      <c r="K2" s="162" t="s">
        <v>177</v>
      </c>
      <c r="L2" s="163" t="s">
        <v>177</v>
      </c>
    </row>
    <row r="3" spans="2:12" x14ac:dyDescent="0.2">
      <c r="H3" s="18" t="s">
        <v>101</v>
      </c>
      <c r="I3" s="18" t="s">
        <v>208</v>
      </c>
      <c r="J3" s="18" t="s">
        <v>216</v>
      </c>
      <c r="K3" s="164" t="s">
        <v>216</v>
      </c>
      <c r="L3" s="165" t="s">
        <v>216</v>
      </c>
    </row>
    <row r="4" spans="2:12" ht="90" x14ac:dyDescent="0.2">
      <c r="B4" s="68" t="s">
        <v>4</v>
      </c>
      <c r="C4" s="77" t="s">
        <v>183</v>
      </c>
      <c r="D4" s="77" t="s">
        <v>184</v>
      </c>
      <c r="E4" s="77" t="s">
        <v>185</v>
      </c>
      <c r="F4" s="77" t="s">
        <v>186</v>
      </c>
      <c r="H4" s="77" t="s">
        <v>95</v>
      </c>
      <c r="I4" s="77" t="s">
        <v>97</v>
      </c>
      <c r="J4" s="77" t="s">
        <v>108</v>
      </c>
      <c r="K4" s="166" t="s">
        <v>107</v>
      </c>
      <c r="L4" s="155" t="s">
        <v>243</v>
      </c>
    </row>
    <row r="5" spans="2:12" ht="15" hidden="1" x14ac:dyDescent="0.3">
      <c r="B5" s="20">
        <v>1991</v>
      </c>
      <c r="C5" s="21"/>
      <c r="D5" s="22"/>
      <c r="E5" s="21"/>
      <c r="F5" s="22"/>
      <c r="H5" s="22"/>
      <c r="I5" s="78"/>
      <c r="J5" s="22"/>
      <c r="K5" s="167"/>
      <c r="L5" s="168"/>
    </row>
    <row r="6" spans="2:12" ht="15" hidden="1" x14ac:dyDescent="0.3">
      <c r="B6" s="20">
        <v>1992</v>
      </c>
      <c r="C6" s="21"/>
      <c r="D6" s="22"/>
      <c r="E6" s="21"/>
      <c r="F6" s="22"/>
      <c r="H6" s="22"/>
      <c r="I6" s="78"/>
      <c r="J6" s="22"/>
      <c r="K6" s="167"/>
      <c r="L6" s="168"/>
    </row>
    <row r="7" spans="2:12" ht="15" hidden="1" x14ac:dyDescent="0.3">
      <c r="B7" s="20">
        <v>1993</v>
      </c>
      <c r="C7" s="21"/>
      <c r="D7" s="22"/>
      <c r="E7" s="21"/>
      <c r="F7" s="22"/>
      <c r="H7" s="22"/>
      <c r="I7" s="78"/>
      <c r="J7" s="22"/>
      <c r="K7" s="167"/>
      <c r="L7" s="168"/>
    </row>
    <row r="8" spans="2:12" ht="15" hidden="1" x14ac:dyDescent="0.3">
      <c r="B8" s="20">
        <v>1994</v>
      </c>
      <c r="C8" s="21"/>
      <c r="D8" s="22"/>
      <c r="E8" s="21"/>
      <c r="F8" s="22"/>
      <c r="H8" s="22"/>
      <c r="I8" s="78"/>
      <c r="J8" s="22"/>
      <c r="K8" s="167"/>
      <c r="L8" s="168"/>
    </row>
    <row r="9" spans="2:12" ht="15" hidden="1" x14ac:dyDescent="0.3">
      <c r="B9" s="20">
        <v>1995</v>
      </c>
      <c r="C9" s="21"/>
      <c r="D9" s="22"/>
      <c r="E9" s="21"/>
      <c r="F9" s="22"/>
      <c r="H9" s="22"/>
      <c r="I9" s="78"/>
      <c r="J9" s="22"/>
      <c r="K9" s="167"/>
      <c r="L9" s="168"/>
    </row>
    <row r="10" spans="2:12" ht="15" hidden="1" x14ac:dyDescent="0.3">
      <c r="B10" s="20">
        <v>1996</v>
      </c>
      <c r="C10" s="21"/>
      <c r="D10" s="22"/>
      <c r="E10" s="21"/>
      <c r="F10" s="22"/>
      <c r="H10" s="22"/>
      <c r="I10" s="78"/>
      <c r="J10" s="22"/>
      <c r="K10" s="167"/>
      <c r="L10" s="168"/>
    </row>
    <row r="11" spans="2:12" ht="15" hidden="1" x14ac:dyDescent="0.3">
      <c r="B11" s="20">
        <v>1997</v>
      </c>
      <c r="C11" s="21"/>
      <c r="D11" s="22"/>
      <c r="E11" s="21"/>
      <c r="F11" s="22"/>
      <c r="H11" s="22"/>
      <c r="I11" s="78"/>
      <c r="J11" s="22"/>
      <c r="K11" s="167"/>
      <c r="L11" s="168"/>
    </row>
    <row r="12" spans="2:12" ht="15" hidden="1" x14ac:dyDescent="0.3">
      <c r="B12" s="20">
        <v>1998</v>
      </c>
      <c r="C12" s="21"/>
      <c r="D12" s="22"/>
      <c r="E12" s="21"/>
      <c r="F12" s="22"/>
      <c r="H12" s="22"/>
      <c r="I12" s="78"/>
      <c r="J12" s="22"/>
      <c r="K12" s="167"/>
      <c r="L12" s="168"/>
    </row>
    <row r="13" spans="2:12" ht="15" hidden="1" x14ac:dyDescent="0.3">
      <c r="B13" s="20">
        <v>1999</v>
      </c>
      <c r="C13" s="21"/>
      <c r="D13" s="22"/>
      <c r="E13" s="21"/>
      <c r="F13" s="22"/>
      <c r="H13" s="22"/>
      <c r="I13" s="78"/>
      <c r="J13" s="22"/>
      <c r="K13" s="167"/>
      <c r="L13" s="168"/>
    </row>
    <row r="14" spans="2:12" ht="15" x14ac:dyDescent="0.3">
      <c r="B14" s="20">
        <v>2002</v>
      </c>
      <c r="C14" s="21">
        <f>'US BLS &amp; BEA tables'!G18</f>
        <v>91.3</v>
      </c>
      <c r="D14" s="22">
        <v>1</v>
      </c>
      <c r="E14" s="21">
        <f>'US BLS &amp; BEA tables'!N18</f>
        <v>85.054000000000002</v>
      </c>
      <c r="F14" s="22">
        <v>1</v>
      </c>
      <c r="H14" s="78">
        <v>1</v>
      </c>
      <c r="I14" s="78">
        <v>1</v>
      </c>
      <c r="J14" s="22">
        <f t="shared" ref="J14:J24" si="0">D14*$F$1+F14*$F$2</f>
        <v>1</v>
      </c>
      <c r="K14" s="169">
        <v>1</v>
      </c>
      <c r="L14" s="168"/>
    </row>
    <row r="15" spans="2:12" ht="15" x14ac:dyDescent="0.3">
      <c r="B15" s="20">
        <v>2003</v>
      </c>
      <c r="C15" s="21">
        <f>'US BLS &amp; BEA tables'!G19</f>
        <v>93.775000000000006</v>
      </c>
      <c r="D15" s="22">
        <f t="shared" ref="D15:D24" si="1">C15/C14</f>
        <v>1.0271084337349399</v>
      </c>
      <c r="E15" s="21">
        <f>'US BLS &amp; BEA tables'!N19</f>
        <v>86.754000000000005</v>
      </c>
      <c r="F15" s="22">
        <f t="shared" ref="F15:F24" si="2">E15/E14</f>
        <v>1.0199873021844945</v>
      </c>
      <c r="H15" s="78">
        <f t="shared" ref="H15:H24" si="3">H14*D15</f>
        <v>1.0271084337349399</v>
      </c>
      <c r="I15" s="78">
        <f t="shared" ref="I15:I24" si="4">I14*F15</f>
        <v>1.0199873021844945</v>
      </c>
      <c r="J15" s="22">
        <f t="shared" si="0"/>
        <v>1.024452921630012</v>
      </c>
      <c r="K15" s="169">
        <f t="shared" ref="K15:K23" si="5">K14*J15</f>
        <v>1.024452921630012</v>
      </c>
      <c r="L15" s="142">
        <f>LN(K15/K14)</f>
        <v>2.4158735108036223E-2</v>
      </c>
    </row>
    <row r="16" spans="2:12" ht="15" x14ac:dyDescent="0.3">
      <c r="B16" s="20">
        <v>2004</v>
      </c>
      <c r="C16" s="21">
        <f>'US BLS &amp; BEA tables'!G20</f>
        <v>96.625</v>
      </c>
      <c r="D16" s="22">
        <f t="shared" si="1"/>
        <v>1.0303918954945348</v>
      </c>
      <c r="E16" s="21">
        <f>'US BLS &amp; BEA tables'!N20</f>
        <v>89.132000000000005</v>
      </c>
      <c r="F16" s="22">
        <f t="shared" si="2"/>
        <v>1.0274108398460013</v>
      </c>
      <c r="H16" s="78">
        <f t="shared" si="3"/>
        <v>1.0583242059145674</v>
      </c>
      <c r="I16" s="78">
        <f t="shared" si="4"/>
        <v>1.0479460107696286</v>
      </c>
      <c r="J16" s="22">
        <f t="shared" si="0"/>
        <v>1.0292802421984164</v>
      </c>
      <c r="K16" s="169">
        <f t="shared" si="5"/>
        <v>1.054449151296214</v>
      </c>
      <c r="L16" s="142">
        <f t="shared" ref="L16:L24" si="6">LN(K16/K15)</f>
        <v>2.8859763989106637E-2</v>
      </c>
    </row>
    <row r="17" spans="2:12" ht="15" x14ac:dyDescent="0.3">
      <c r="B17" s="20">
        <v>2005</v>
      </c>
      <c r="C17" s="21">
        <f>'US BLS &amp; BEA tables'!G21</f>
        <v>99.275000000000006</v>
      </c>
      <c r="D17" s="22">
        <f t="shared" si="1"/>
        <v>1.0274256144890039</v>
      </c>
      <c r="E17" s="21">
        <f>'US BLS &amp; BEA tables'!N21</f>
        <v>91.991</v>
      </c>
      <c r="F17" s="22">
        <f t="shared" si="2"/>
        <v>1.0320760220796121</v>
      </c>
      <c r="H17" s="78">
        <f t="shared" si="3"/>
        <v>1.0873493975903616</v>
      </c>
      <c r="I17" s="78">
        <f t="shared" si="4"/>
        <v>1.0815599501493167</v>
      </c>
      <c r="J17" s="22">
        <f t="shared" si="0"/>
        <v>1.0291597790051668</v>
      </c>
      <c r="K17" s="169">
        <f t="shared" si="5"/>
        <v>1.0851966555201973</v>
      </c>
      <c r="L17" s="142">
        <f t="shared" si="6"/>
        <v>2.8742720798975951E-2</v>
      </c>
    </row>
    <row r="18" spans="2:12" ht="15" x14ac:dyDescent="0.3">
      <c r="B18" s="20">
        <v>2006</v>
      </c>
      <c r="C18" s="21">
        <f>'US BLS &amp; BEA tables'!G22</f>
        <v>102.35</v>
      </c>
      <c r="D18" s="22">
        <f>C18/C17</f>
        <v>1.0309745656006042</v>
      </c>
      <c r="E18" s="21">
        <f>'US BLS &amp; BEA tables'!N22</f>
        <v>94.817999999999998</v>
      </c>
      <c r="F18" s="22">
        <f t="shared" si="2"/>
        <v>1.0307312671891815</v>
      </c>
      <c r="H18" s="78">
        <f>H17*D18</f>
        <v>1.1210295728368018</v>
      </c>
      <c r="I18" s="78">
        <f t="shared" si="4"/>
        <v>1.1147976579584733</v>
      </c>
      <c r="J18" s="22">
        <f t="shared" si="0"/>
        <v>1.0308838381829086</v>
      </c>
      <c r="K18" s="169">
        <f t="shared" si="5"/>
        <v>1.1187116934259167</v>
      </c>
      <c r="L18" s="142">
        <f t="shared" si="6"/>
        <v>3.041652961144244E-2</v>
      </c>
    </row>
    <row r="19" spans="2:12" ht="15" x14ac:dyDescent="0.3">
      <c r="B19" s="20">
        <v>2007</v>
      </c>
      <c r="C19" s="21">
        <f>'US BLS &amp; BEA tables'!G23</f>
        <v>105.675</v>
      </c>
      <c r="D19" s="22">
        <f t="shared" si="1"/>
        <v>1.032486565705911</v>
      </c>
      <c r="E19" s="21">
        <f>'US BLS &amp; BEA tables'!N23</f>
        <v>97.334999999999994</v>
      </c>
      <c r="F19" s="22">
        <f t="shared" si="2"/>
        <v>1.0265455926089984</v>
      </c>
      <c r="H19" s="78">
        <f t="shared" si="3"/>
        <v>1.1574479737130339</v>
      </c>
      <c r="I19" s="78">
        <f t="shared" si="4"/>
        <v>1.1443906224281044</v>
      </c>
      <c r="J19" s="22">
        <f t="shared" si="0"/>
        <v>1.0302711416736283</v>
      </c>
      <c r="K19" s="169">
        <f t="shared" si="5"/>
        <v>1.1525763735895573</v>
      </c>
      <c r="L19" s="142">
        <f t="shared" si="6"/>
        <v>2.9822011942160255E-2</v>
      </c>
    </row>
    <row r="20" spans="2:12" ht="15" x14ac:dyDescent="0.3">
      <c r="B20" s="20">
        <v>2008</v>
      </c>
      <c r="C20" s="21">
        <f>'US BLS &amp; BEA tables'!G24</f>
        <v>109.05000000000001</v>
      </c>
      <c r="D20" s="22">
        <f t="shared" si="1"/>
        <v>1.0319375443577006</v>
      </c>
      <c r="E20" s="21">
        <f>'US BLS &amp; BEA tables'!N24</f>
        <v>99.236000000000004</v>
      </c>
      <c r="F20" s="22">
        <f t="shared" si="2"/>
        <v>1.0195304874916526</v>
      </c>
      <c r="H20" s="78">
        <f t="shared" si="3"/>
        <v>1.1944140197152247</v>
      </c>
      <c r="I20" s="78">
        <f t="shared" si="4"/>
        <v>1.1667411291650012</v>
      </c>
      <c r="J20" s="22">
        <f t="shared" si="0"/>
        <v>1.0273108794153489</v>
      </c>
      <c r="K20" s="169">
        <f t="shared" si="5"/>
        <v>1.184054247945642</v>
      </c>
      <c r="L20" s="142">
        <f t="shared" si="6"/>
        <v>2.6944591484158818E-2</v>
      </c>
    </row>
    <row r="21" spans="2:12" ht="15" x14ac:dyDescent="0.3">
      <c r="B21" s="20">
        <v>2009</v>
      </c>
      <c r="C21" s="21">
        <f>'US BLS &amp; BEA tables'!G25</f>
        <v>112.125</v>
      </c>
      <c r="D21" s="22">
        <f t="shared" si="1"/>
        <v>1.028198074277854</v>
      </c>
      <c r="E21" s="21">
        <f>'US BLS &amp; BEA tables'!N25</f>
        <v>100</v>
      </c>
      <c r="F21" s="22">
        <f t="shared" si="2"/>
        <v>1.0076988189769842</v>
      </c>
      <c r="H21" s="78">
        <f t="shared" si="3"/>
        <v>1.2280941949616648</v>
      </c>
      <c r="I21" s="78">
        <f t="shared" si="4"/>
        <v>1.1757236579114447</v>
      </c>
      <c r="J21" s="22">
        <f t="shared" si="0"/>
        <v>1.020553780641674</v>
      </c>
      <c r="K21" s="169">
        <f t="shared" si="5"/>
        <v>1.2083910392257591</v>
      </c>
      <c r="L21" s="142">
        <f t="shared" si="6"/>
        <v>2.0345402164965967E-2</v>
      </c>
    </row>
    <row r="22" spans="2:12" ht="15" x14ac:dyDescent="0.3">
      <c r="B22" s="20">
        <v>2010</v>
      </c>
      <c r="C22" s="21">
        <f>'US BLS &amp; BEA tables'!G26</f>
        <v>114.9</v>
      </c>
      <c r="D22" s="22">
        <f t="shared" si="1"/>
        <v>1.0247491638795987</v>
      </c>
      <c r="E22" s="21">
        <f>'US BLS &amp; BEA tables'!N26</f>
        <v>101.211</v>
      </c>
      <c r="F22" s="22">
        <f t="shared" si="2"/>
        <v>1.0121100000000001</v>
      </c>
      <c r="H22" s="78">
        <f t="shared" si="3"/>
        <v>1.2584884994523549</v>
      </c>
      <c r="I22" s="78">
        <f t="shared" si="4"/>
        <v>1.1899616714087524</v>
      </c>
      <c r="J22" s="22">
        <f t="shared" si="0"/>
        <v>1.0200359448580594</v>
      </c>
      <c r="K22" s="169">
        <f t="shared" si="5"/>
        <v>1.2326022954546594</v>
      </c>
      <c r="L22" s="142">
        <f t="shared" si="6"/>
        <v>1.9837866732184448E-2</v>
      </c>
    </row>
    <row r="23" spans="2:12" ht="15" x14ac:dyDescent="0.3">
      <c r="B23" s="20">
        <v>2011</v>
      </c>
      <c r="C23" s="21">
        <f>'US BLS &amp; BEA tables'!G27</f>
        <v>118.075</v>
      </c>
      <c r="D23" s="22">
        <f t="shared" si="1"/>
        <v>1.0276327241079199</v>
      </c>
      <c r="E23" s="21">
        <f>'US BLS &amp; BEA tables'!N27</f>
        <v>103.199</v>
      </c>
      <c r="F23" s="22">
        <f t="shared" si="2"/>
        <v>1.0196421337601644</v>
      </c>
      <c r="H23" s="78">
        <f t="shared" si="3"/>
        <v>1.2932639649507121</v>
      </c>
      <c r="I23" s="78">
        <f t="shared" si="4"/>
        <v>1.213335057728032</v>
      </c>
      <c r="J23" s="22">
        <f t="shared" si="0"/>
        <v>1.0246529856711741</v>
      </c>
      <c r="K23" s="169">
        <f t="shared" si="5"/>
        <v>1.2629896221827595</v>
      </c>
      <c r="L23" s="142">
        <f t="shared" si="6"/>
        <v>2.435400470448313E-2</v>
      </c>
    </row>
    <row r="24" spans="2:12" ht="15" x14ac:dyDescent="0.3">
      <c r="B24" s="20">
        <v>2012</v>
      </c>
      <c r="C24" s="21">
        <f>'US BLS &amp; BEA tables'!G28</f>
        <v>120.97499999999999</v>
      </c>
      <c r="D24" s="22">
        <f t="shared" si="1"/>
        <v>1.0245606605970781</v>
      </c>
      <c r="E24" s="21">
        <f>'US BLS &amp; BEA tables'!N28</f>
        <v>105.002</v>
      </c>
      <c r="F24" s="22">
        <f t="shared" si="2"/>
        <v>1.0174710995261582</v>
      </c>
      <c r="H24" s="78">
        <f t="shared" si="3"/>
        <v>1.3250273822562979</v>
      </c>
      <c r="I24" s="78">
        <f t="shared" si="4"/>
        <v>1.2345333552801754</v>
      </c>
      <c r="J24" s="22">
        <f t="shared" si="0"/>
        <v>1.0219169213108299</v>
      </c>
      <c r="K24" s="169">
        <f>K23*J24</f>
        <v>1.2906704663485338</v>
      </c>
      <c r="L24" s="142">
        <f t="shared" si="6"/>
        <v>2.1680198174762202E-2</v>
      </c>
    </row>
    <row r="25" spans="2:12" ht="15" x14ac:dyDescent="0.3">
      <c r="B25" s="20">
        <v>2013</v>
      </c>
      <c r="C25" s="21">
        <f>'US BLS &amp; BEA tables'!G29</f>
        <v>124.325</v>
      </c>
      <c r="D25" s="22">
        <f>C25/C24</f>
        <v>1.0276916718330233</v>
      </c>
      <c r="E25" s="21">
        <f>'US BLS &amp; BEA tables'!N29</f>
        <v>106.58799999999999</v>
      </c>
      <c r="F25" s="22">
        <f>E25/E24</f>
        <v>1.0151044742004913</v>
      </c>
      <c r="H25" s="78">
        <f>H24*D25</f>
        <v>1.3617196056955092</v>
      </c>
      <c r="I25" s="78">
        <f>I24*F25</f>
        <v>1.2531803324946509</v>
      </c>
      <c r="J25" s="22">
        <f>D25*$F$1+F25*$F$2</f>
        <v>1.0229978313326018</v>
      </c>
      <c r="K25" s="169">
        <f>K24*J25</f>
        <v>1.320353088039588</v>
      </c>
      <c r="L25" s="142">
        <f>LN(K25/K24)</f>
        <v>2.2737367057762265E-2</v>
      </c>
    </row>
    <row r="26" spans="2:12" ht="15" x14ac:dyDescent="0.3">
      <c r="B26" s="20">
        <v>2014</v>
      </c>
      <c r="C26" s="21">
        <f>'US BLS &amp; BEA tables'!G30</f>
        <v>127.7</v>
      </c>
      <c r="D26" s="22">
        <f>C26/C25</f>
        <v>1.027146591594611</v>
      </c>
      <c r="E26" s="21">
        <f>'US BLS &amp; BEA tables'!N30</f>
        <v>108.68600000000001</v>
      </c>
      <c r="F26" s="22">
        <f>E26/E25</f>
        <v>1.0196832664089768</v>
      </c>
      <c r="H26" s="78">
        <f>H25*D26</f>
        <v>1.3986856516977</v>
      </c>
      <c r="I26" s="78">
        <f>I25*F26</f>
        <v>1.2778470148376333</v>
      </c>
      <c r="J26" s="22">
        <f>D26*$F$1+F26*$F$2</f>
        <v>1.024363473457687</v>
      </c>
      <c r="K26" s="169">
        <f>K25*J26</f>
        <v>1.3525214754548154</v>
      </c>
      <c r="L26" s="142">
        <f>LN(K26/K25)</f>
        <v>2.4071418184375977E-2</v>
      </c>
    </row>
    <row r="27" spans="2:12" ht="15.75" thickBot="1" x14ac:dyDescent="0.35">
      <c r="B27" s="20"/>
      <c r="C27" s="21"/>
      <c r="D27" s="22"/>
      <c r="E27" s="21"/>
      <c r="F27" s="22"/>
      <c r="I27" s="109"/>
      <c r="K27" s="170"/>
      <c r="L27" s="171">
        <f>AVERAGE(L15:L26)</f>
        <v>2.5164217496034522E-2</v>
      </c>
    </row>
  </sheetData>
  <phoneticPr fontId="114" type="noConversion"/>
  <pageMargins left="0.7" right="0.7" top="0.75" bottom="0.75" header="0.3" footer="0.3"/>
  <pageSetup scale="83" orientation="landscape" r:id="rId1"/>
  <headerFooter>
    <oddHeader>&amp;CFiled: 2016-10-26, EB-2016-0152
Exhibit L, Tab 11.1 Schedule 1 Staff-246</oddHeader>
  </headerFooter>
  <ignoredErrors>
    <ignoredError sqref="E14:E24" formula="1"/>
  </ignoredErrors>
  <extLs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36"/>
  <sheetViews>
    <sheetView showGridLines="0" view="pageLayout" workbookViewId="0">
      <selection activeCell="F21" sqref="F21"/>
    </sheetView>
  </sheetViews>
  <sheetFormatPr defaultColWidth="8.85546875" defaultRowHeight="12.75" x14ac:dyDescent="0.2"/>
  <cols>
    <col min="1" max="1" width="2.85546875" customWidth="1"/>
    <col min="2" max="2" width="16.7109375" customWidth="1"/>
    <col min="3" max="5" width="23.7109375" customWidth="1"/>
    <col min="6" max="6" width="27.42578125" bestFit="1" customWidth="1"/>
    <col min="7" max="7" width="27" customWidth="1"/>
  </cols>
  <sheetData>
    <row r="2" spans="2:7" ht="15" x14ac:dyDescent="0.25">
      <c r="B2" s="128" t="s">
        <v>152</v>
      </c>
    </row>
    <row r="3" spans="2:7" ht="15" x14ac:dyDescent="0.25">
      <c r="B3" s="129"/>
      <c r="C3" s="130" t="s">
        <v>25</v>
      </c>
      <c r="D3" s="130" t="s">
        <v>29</v>
      </c>
      <c r="E3" s="130" t="s">
        <v>30</v>
      </c>
      <c r="F3" s="130" t="s">
        <v>153</v>
      </c>
      <c r="G3" s="130" t="s">
        <v>154</v>
      </c>
    </row>
    <row r="4" spans="2:7" ht="13.5" x14ac:dyDescent="0.2">
      <c r="B4" s="14">
        <v>2002</v>
      </c>
      <c r="C4" s="409">
        <v>0.66777544865887539</v>
      </c>
      <c r="D4" s="409">
        <v>0.92625556472316284</v>
      </c>
      <c r="E4" s="409">
        <v>7.3744435276837161E-2</v>
      </c>
      <c r="F4" s="410">
        <v>4.9244723353085336E-2</v>
      </c>
      <c r="G4" s="411">
        <v>2.4499711923751825E-2</v>
      </c>
    </row>
    <row r="5" spans="2:7" ht="13.5" x14ac:dyDescent="0.2">
      <c r="B5" s="14">
        <v>2003</v>
      </c>
      <c r="C5" s="409">
        <v>0.64380931674316244</v>
      </c>
      <c r="D5" s="409">
        <v>0.93768893688286992</v>
      </c>
      <c r="E5" s="409">
        <v>6.2311063117130083E-2</v>
      </c>
      <c r="F5" s="410">
        <v>4.0116442970979591E-2</v>
      </c>
      <c r="G5" s="411">
        <v>2.2194620146150493E-2</v>
      </c>
    </row>
    <row r="6" spans="2:7" ht="13.5" x14ac:dyDescent="0.2">
      <c r="B6" s="14">
        <v>2004</v>
      </c>
      <c r="C6" s="409">
        <v>0.66873352371759109</v>
      </c>
      <c r="D6" s="409">
        <v>0.92941067353388684</v>
      </c>
      <c r="E6" s="409">
        <v>7.0589326466113156E-2</v>
      </c>
      <c r="F6" s="410">
        <v>4.7205449024535266E-2</v>
      </c>
      <c r="G6" s="411">
        <v>2.338387744157789E-2</v>
      </c>
    </row>
    <row r="7" spans="2:7" ht="13.5" x14ac:dyDescent="0.2">
      <c r="B7" s="14">
        <v>2005</v>
      </c>
      <c r="C7" s="409">
        <v>0.64248587164757964</v>
      </c>
      <c r="D7" s="409">
        <v>0.92311591150972294</v>
      </c>
      <c r="E7" s="409">
        <v>7.6884088490277058E-2</v>
      </c>
      <c r="F7" s="410">
        <v>4.9396940609505301E-2</v>
      </c>
      <c r="G7" s="411">
        <v>2.7487147880771758E-2</v>
      </c>
    </row>
    <row r="8" spans="2:7" ht="13.5" x14ac:dyDescent="0.2">
      <c r="B8" s="14">
        <v>2006</v>
      </c>
      <c r="C8" s="409">
        <v>0.64289946281338795</v>
      </c>
      <c r="D8" s="409">
        <v>0.88951578051269919</v>
      </c>
      <c r="E8" s="409">
        <v>0.11048421948730081</v>
      </c>
      <c r="F8" s="410">
        <v>7.1030245357742133E-2</v>
      </c>
      <c r="G8" s="411">
        <v>3.9453974129558672E-2</v>
      </c>
    </row>
    <row r="9" spans="2:7" ht="13.5" x14ac:dyDescent="0.2">
      <c r="B9" s="14">
        <v>2007</v>
      </c>
      <c r="C9" s="409">
        <v>0.64393380123538724</v>
      </c>
      <c r="D9" s="409">
        <v>0.88103780657756037</v>
      </c>
      <c r="E9" s="409">
        <v>0.11896219342243963</v>
      </c>
      <c r="F9" s="410">
        <v>7.6603777413810928E-2</v>
      </c>
      <c r="G9" s="411">
        <v>4.2358416008628705E-2</v>
      </c>
    </row>
    <row r="10" spans="2:7" ht="13.5" x14ac:dyDescent="0.2">
      <c r="B10" s="14">
        <v>2008</v>
      </c>
      <c r="C10" s="409">
        <v>0.594935946766188</v>
      </c>
      <c r="D10" s="409">
        <v>0.8859597182500708</v>
      </c>
      <c r="E10" s="409">
        <v>0.1140402817499292</v>
      </c>
      <c r="F10" s="410">
        <v>6.784666299237696E-2</v>
      </c>
      <c r="G10" s="411">
        <v>4.6193618757552235E-2</v>
      </c>
    </row>
    <row r="11" spans="2:7" ht="13.5" x14ac:dyDescent="0.2">
      <c r="B11" s="14">
        <v>2009</v>
      </c>
      <c r="C11" s="409">
        <v>0.61660866967782046</v>
      </c>
      <c r="D11" s="409">
        <v>0.86458828679577437</v>
      </c>
      <c r="E11" s="409">
        <v>0.13541171320422563</v>
      </c>
      <c r="F11" s="410">
        <v>8.3496036337652124E-2</v>
      </c>
      <c r="G11" s="411">
        <v>5.1915676866573501E-2</v>
      </c>
    </row>
    <row r="12" spans="2:7" ht="13.5" x14ac:dyDescent="0.2">
      <c r="B12" s="14">
        <v>2010</v>
      </c>
      <c r="C12" s="409">
        <v>0.58156976235578917</v>
      </c>
      <c r="D12" s="409">
        <v>0.83897354027462345</v>
      </c>
      <c r="E12" s="409">
        <v>0.16102645972537655</v>
      </c>
      <c r="F12" s="410">
        <v>9.364811991548129E-2</v>
      </c>
      <c r="G12" s="411">
        <v>6.7378339809895257E-2</v>
      </c>
    </row>
    <row r="13" spans="2:7" ht="13.5" x14ac:dyDescent="0.2">
      <c r="B13" s="14">
        <v>2011</v>
      </c>
      <c r="C13" s="409">
        <v>0.61737056258631107</v>
      </c>
      <c r="D13" s="409">
        <v>0.83728341584716004</v>
      </c>
      <c r="E13" s="409">
        <v>0.16271658415283996</v>
      </c>
      <c r="F13" s="410">
        <v>0.10045642910056163</v>
      </c>
      <c r="G13" s="411">
        <v>6.2260155052278332E-2</v>
      </c>
    </row>
    <row r="14" spans="2:7" ht="13.5" x14ac:dyDescent="0.2">
      <c r="B14" s="14">
        <v>2012</v>
      </c>
      <c r="C14" s="409">
        <v>0.63640139419158748</v>
      </c>
      <c r="D14" s="409">
        <v>0.80722889888761684</v>
      </c>
      <c r="E14" s="409">
        <v>0.19277110111238316</v>
      </c>
      <c r="F14" s="410">
        <v>0.12267979750776813</v>
      </c>
      <c r="G14" s="411">
        <v>7.0091303604615032E-2</v>
      </c>
    </row>
    <row r="15" spans="2:7" ht="13.5" x14ac:dyDescent="0.2">
      <c r="B15" s="14">
        <v>2013</v>
      </c>
      <c r="C15" s="409">
        <v>0.66702996976733997</v>
      </c>
      <c r="D15" s="409">
        <v>0.83799133100064704</v>
      </c>
      <c r="E15" s="409">
        <v>0.16200866899935296</v>
      </c>
      <c r="F15" s="410">
        <v>0.10806463758468539</v>
      </c>
      <c r="G15" s="411">
        <v>5.3944031414667568E-2</v>
      </c>
    </row>
    <row r="16" spans="2:7" ht="13.5" x14ac:dyDescent="0.2">
      <c r="B16" s="14">
        <v>2014</v>
      </c>
      <c r="C16" s="409">
        <v>0.63773534730347836</v>
      </c>
      <c r="D16" s="409">
        <v>0.85648327835502203</v>
      </c>
      <c r="E16" s="409">
        <v>0.14351672164497797</v>
      </c>
      <c r="F16" s="410">
        <v>9.1525686322116662E-2</v>
      </c>
      <c r="G16" s="411">
        <v>5.1991035322861312E-2</v>
      </c>
    </row>
    <row r="17" spans="2:7" ht="15" x14ac:dyDescent="0.2">
      <c r="B17" s="131" t="s">
        <v>276</v>
      </c>
      <c r="C17" s="367">
        <f>AVERAGE(C4:C16)</f>
        <v>0.63548377518957666</v>
      </c>
      <c r="D17" s="133">
        <f>AVERAGE(D4:D16)</f>
        <v>0.87811793408852445</v>
      </c>
      <c r="E17" s="133">
        <f>AVERAGE(E4:E16)</f>
        <v>0.12188206591147564</v>
      </c>
      <c r="F17" s="133">
        <f>AVERAGE(F4:F16)</f>
        <v>7.7024226806946219E-2</v>
      </c>
      <c r="G17" s="133">
        <f>AVERAGE(G4:G16)</f>
        <v>4.4857839104529423E-2</v>
      </c>
    </row>
    <row r="19" spans="2:7" ht="15" x14ac:dyDescent="0.25">
      <c r="B19" s="128" t="s">
        <v>155</v>
      </c>
    </row>
    <row r="20" spans="2:7" ht="89.25" x14ac:dyDescent="0.2">
      <c r="B20" s="129"/>
      <c r="C20" s="134" t="s">
        <v>156</v>
      </c>
      <c r="D20" s="134" t="s">
        <v>157</v>
      </c>
      <c r="E20" s="134" t="s">
        <v>158</v>
      </c>
    </row>
    <row r="21" spans="2:7" ht="13.5" x14ac:dyDescent="0.2">
      <c r="B21" s="14">
        <v>2002</v>
      </c>
      <c r="C21" s="17"/>
      <c r="E21" s="17"/>
    </row>
    <row r="22" spans="2:7" ht="13.5" x14ac:dyDescent="0.2">
      <c r="B22" s="14">
        <v>2003</v>
      </c>
      <c r="C22" s="17"/>
      <c r="E22" s="17"/>
    </row>
    <row r="23" spans="2:7" ht="13.5" x14ac:dyDescent="0.2">
      <c r="B23" s="14">
        <v>2004</v>
      </c>
      <c r="C23" s="376">
        <v>0.41718373239506584</v>
      </c>
      <c r="D23" s="376">
        <v>0.44179837176842579</v>
      </c>
      <c r="E23" s="376">
        <v>0.60445579215659795</v>
      </c>
    </row>
    <row r="24" spans="2:7" ht="13.5" x14ac:dyDescent="0.2">
      <c r="B24" s="14">
        <v>2005</v>
      </c>
      <c r="C24" s="376">
        <v>0.375460379497777</v>
      </c>
      <c r="D24" s="376">
        <v>0.44733446876897659</v>
      </c>
      <c r="E24" s="376">
        <v>0.6299519507624024</v>
      </c>
    </row>
    <row r="25" spans="2:7" ht="13.5" x14ac:dyDescent="0.2">
      <c r="B25" s="14">
        <v>2006</v>
      </c>
      <c r="C25" s="376">
        <v>0.36784439365935206</v>
      </c>
      <c r="D25" s="376">
        <v>0.44176306519639369</v>
      </c>
      <c r="E25" s="376">
        <v>0.60894898592160929</v>
      </c>
    </row>
    <row r="26" spans="2:7" ht="13.5" x14ac:dyDescent="0.2">
      <c r="B26" s="14">
        <v>2007</v>
      </c>
      <c r="C26" s="376">
        <v>0.37070371963555387</v>
      </c>
      <c r="D26" s="376">
        <v>0.46297429401059442</v>
      </c>
      <c r="E26" s="376">
        <v>0.61306700211317211</v>
      </c>
    </row>
    <row r="27" spans="2:7" ht="13.5" x14ac:dyDescent="0.2">
      <c r="B27" s="14">
        <v>2008</v>
      </c>
      <c r="C27" s="376">
        <v>0.3621100553136124</v>
      </c>
      <c r="D27" s="376">
        <v>0.47215289303209385</v>
      </c>
      <c r="E27" s="376">
        <v>0.60069739532944366</v>
      </c>
    </row>
    <row r="28" spans="2:7" ht="13.5" x14ac:dyDescent="0.2">
      <c r="B28" s="14">
        <v>2009</v>
      </c>
      <c r="C28" s="376">
        <v>0.38307467381159549</v>
      </c>
      <c r="D28" s="376">
        <v>0.46812485059343611</v>
      </c>
      <c r="E28" s="376">
        <v>0.62115919688781018</v>
      </c>
    </row>
    <row r="29" spans="2:7" ht="13.5" x14ac:dyDescent="0.2">
      <c r="B29" s="14">
        <v>2010</v>
      </c>
      <c r="C29" s="376">
        <v>0.42271774215187613</v>
      </c>
      <c r="D29" s="376">
        <v>0.51687571921571984</v>
      </c>
      <c r="E29" s="376">
        <v>0.65393733292566514</v>
      </c>
    </row>
    <row r="30" spans="2:7" ht="13.5" x14ac:dyDescent="0.2">
      <c r="B30" s="14">
        <v>2011</v>
      </c>
      <c r="C30" s="376">
        <v>0.41922819849030007</v>
      </c>
      <c r="D30" s="376">
        <v>0.50551187305390499</v>
      </c>
      <c r="E30" s="376">
        <v>0.63266651684835484</v>
      </c>
    </row>
    <row r="31" spans="2:7" ht="13.5" x14ac:dyDescent="0.2">
      <c r="B31" s="14">
        <v>2012</v>
      </c>
      <c r="C31" s="376">
        <v>0.46040267391162965</v>
      </c>
      <c r="D31" s="376">
        <v>0.52994761485958175</v>
      </c>
      <c r="E31" s="376">
        <v>0.65340959143339117</v>
      </c>
      <c r="F31" s="361"/>
    </row>
    <row r="32" spans="2:7" ht="13.5" x14ac:dyDescent="0.2">
      <c r="B32" s="14">
        <v>2013</v>
      </c>
      <c r="C32" s="377">
        <f>C31</f>
        <v>0.46040267391162965</v>
      </c>
      <c r="D32" s="377">
        <f>D31</f>
        <v>0.52994761485958175</v>
      </c>
      <c r="E32" s="378">
        <v>0.63782007263824037</v>
      </c>
    </row>
    <row r="33" spans="2:5" ht="13.5" x14ac:dyDescent="0.2">
      <c r="B33" s="14">
        <v>2014</v>
      </c>
      <c r="C33" s="377">
        <f>C32</f>
        <v>0.46040267391162965</v>
      </c>
      <c r="D33" s="377">
        <f>D32</f>
        <v>0.52994761485958175</v>
      </c>
      <c r="E33" s="378">
        <v>0.641921054308773</v>
      </c>
    </row>
    <row r="34" spans="2:5" ht="15" x14ac:dyDescent="0.2">
      <c r="B34" s="131" t="s">
        <v>276</v>
      </c>
      <c r="C34" s="132">
        <f>AVERAGE(C23:C33)</f>
        <v>0.40904826515363835</v>
      </c>
      <c r="D34" s="132">
        <f>AVERAGE(D23:D33)</f>
        <v>0.48603439820166283</v>
      </c>
      <c r="E34" s="132">
        <f>AVERAGE(E23:E33)</f>
        <v>0.62709408102958719</v>
      </c>
    </row>
    <row r="36" spans="2:5" x14ac:dyDescent="0.2">
      <c r="B36" s="18" t="s">
        <v>592</v>
      </c>
    </row>
  </sheetData>
  <phoneticPr fontId="114"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35"/>
  <sheetViews>
    <sheetView showGridLines="0" view="pageLayout" topLeftCell="A4" zoomScaleNormal="70" zoomScaleSheetLayoutView="55" workbookViewId="0">
      <selection activeCell="C25" sqref="C25"/>
    </sheetView>
  </sheetViews>
  <sheetFormatPr defaultColWidth="8.85546875" defaultRowHeight="12.75" x14ac:dyDescent="0.2"/>
  <cols>
    <col min="2" max="2" width="10.140625" customWidth="1"/>
    <col min="13" max="13" width="10" bestFit="1" customWidth="1"/>
    <col min="17" max="18" width="8.85546875" style="33"/>
  </cols>
  <sheetData>
    <row r="1" spans="1:138" s="26" customFormat="1" ht="15.75" x14ac:dyDescent="0.25">
      <c r="A1" s="23"/>
      <c r="B1" s="23" t="s">
        <v>36</v>
      </c>
      <c r="C1" s="23"/>
      <c r="D1" s="23"/>
      <c r="E1" s="23"/>
      <c r="F1" s="23"/>
      <c r="G1" s="23"/>
      <c r="H1" s="23"/>
      <c r="I1" s="23"/>
      <c r="J1" s="23"/>
      <c r="K1" s="23"/>
      <c r="L1" s="23"/>
      <c r="M1" s="23"/>
      <c r="N1" s="23"/>
      <c r="O1" s="23"/>
      <c r="P1" s="23"/>
      <c r="Q1" s="24"/>
      <c r="R1" s="25"/>
      <c r="S1" s="23"/>
      <c r="T1" s="23"/>
      <c r="U1" s="23"/>
    </row>
    <row r="2" spans="1:138" s="30" customFormat="1" ht="15.75" x14ac:dyDescent="0.25">
      <c r="A2" s="27"/>
      <c r="B2" s="27"/>
      <c r="C2" s="27"/>
      <c r="D2" s="27"/>
      <c r="E2" s="27"/>
      <c r="F2" s="27"/>
      <c r="G2" s="27"/>
      <c r="H2" s="27"/>
      <c r="I2" s="27"/>
      <c r="J2" s="27"/>
      <c r="K2" s="27"/>
      <c r="L2" s="27"/>
      <c r="M2" s="27"/>
      <c r="N2" s="27"/>
      <c r="O2" s="27"/>
      <c r="P2" s="27"/>
      <c r="Q2" s="28"/>
      <c r="R2" s="29"/>
      <c r="S2" s="27"/>
      <c r="T2" s="27"/>
      <c r="U2" s="27"/>
    </row>
    <row r="3" spans="1:138" x14ac:dyDescent="0.2">
      <c r="A3" s="31" t="s">
        <v>37</v>
      </c>
      <c r="Q3" s="32"/>
    </row>
    <row r="4" spans="1:138" x14ac:dyDescent="0.2">
      <c r="A4" s="31"/>
      <c r="Q4" s="32"/>
    </row>
    <row r="5" spans="1:138" s="35" customFormat="1" ht="13.5" x14ac:dyDescent="0.25">
      <c r="A5" s="31"/>
      <c r="B5" s="34" t="s">
        <v>38</v>
      </c>
      <c r="Q5" s="36"/>
      <c r="R5" s="37"/>
      <c r="S5" s="34" t="s">
        <v>38</v>
      </c>
    </row>
    <row r="6" spans="1:138" s="35" customFormat="1" ht="19.5" x14ac:dyDescent="0.3">
      <c r="A6" s="38"/>
      <c r="B6" s="39" t="s">
        <v>39</v>
      </c>
      <c r="Q6" s="36"/>
      <c r="R6" s="37"/>
      <c r="S6" s="39" t="s">
        <v>40</v>
      </c>
    </row>
    <row r="7" spans="1:138" s="35" customFormat="1" x14ac:dyDescent="0.2">
      <c r="A7"/>
      <c r="B7" s="40" t="s">
        <v>41</v>
      </c>
      <c r="Q7" s="36"/>
      <c r="R7" s="37"/>
      <c r="S7" s="40" t="s">
        <v>42</v>
      </c>
    </row>
    <row r="8" spans="1:138" x14ac:dyDescent="0.2">
      <c r="B8" s="41" t="s">
        <v>43</v>
      </c>
      <c r="Q8" s="32"/>
      <c r="S8" s="41" t="s">
        <v>44</v>
      </c>
    </row>
    <row r="9" spans="1:138" x14ac:dyDescent="0.2">
      <c r="B9" s="42" t="s">
        <v>110</v>
      </c>
      <c r="Q9" s="32"/>
      <c r="S9" s="42" t="s">
        <v>110</v>
      </c>
    </row>
    <row r="10" spans="1:138" x14ac:dyDescent="0.2">
      <c r="B10" s="42" t="s">
        <v>45</v>
      </c>
      <c r="Q10" s="32"/>
      <c r="S10" s="42" t="s">
        <v>45</v>
      </c>
    </row>
    <row r="11" spans="1:138" x14ac:dyDescent="0.2">
      <c r="B11" s="42" t="s">
        <v>46</v>
      </c>
      <c r="Q11" s="32"/>
      <c r="S11" s="42" t="s">
        <v>46</v>
      </c>
    </row>
    <row r="12" spans="1:138" x14ac:dyDescent="0.2">
      <c r="B12" s="42" t="s">
        <v>304</v>
      </c>
      <c r="Q12" s="32"/>
      <c r="S12" s="42" t="s">
        <v>109</v>
      </c>
    </row>
    <row r="13" spans="1:138" x14ac:dyDescent="0.2">
      <c r="B13" s="42"/>
      <c r="Q13" s="32"/>
      <c r="S13" s="42"/>
    </row>
    <row r="14" spans="1:138" ht="13.5" thickBot="1" x14ac:dyDescent="0.25">
      <c r="B14" s="43" t="s">
        <v>47</v>
      </c>
      <c r="Q14" s="32"/>
      <c r="S14" s="43" t="s">
        <v>48</v>
      </c>
    </row>
    <row r="15" spans="1:138" ht="13.5" thickBot="1" x14ac:dyDescent="0.25">
      <c r="B15" s="44">
        <v>2001</v>
      </c>
      <c r="C15" s="44">
        <v>2002</v>
      </c>
      <c r="D15" s="44">
        <v>2003</v>
      </c>
      <c r="E15" s="44">
        <v>2004</v>
      </c>
      <c r="F15" s="44">
        <v>2005</v>
      </c>
      <c r="G15" s="44">
        <v>2006</v>
      </c>
      <c r="H15" s="44">
        <v>2007</v>
      </c>
      <c r="I15" s="44">
        <v>2008</v>
      </c>
      <c r="J15" s="44">
        <v>2009</v>
      </c>
      <c r="K15" s="44">
        <v>2010</v>
      </c>
      <c r="L15" s="44">
        <v>2011</v>
      </c>
      <c r="M15" s="44">
        <v>2012</v>
      </c>
      <c r="N15" s="44">
        <v>2013</v>
      </c>
      <c r="O15" s="44">
        <v>2014</v>
      </c>
      <c r="Q15" s="32"/>
      <c r="S15" s="45">
        <v>1991</v>
      </c>
      <c r="T15" s="45">
        <v>1991</v>
      </c>
      <c r="U15" s="45">
        <v>1991</v>
      </c>
      <c r="V15" s="45">
        <v>1991</v>
      </c>
      <c r="W15" s="45">
        <v>1991</v>
      </c>
      <c r="X15" s="45">
        <v>1991</v>
      </c>
      <c r="Y15" s="45">
        <v>1991</v>
      </c>
      <c r="Z15" s="45">
        <v>1991</v>
      </c>
      <c r="AA15" s="45">
        <v>1991</v>
      </c>
      <c r="AB15" s="45">
        <v>1991</v>
      </c>
      <c r="AC15" s="45">
        <v>1991</v>
      </c>
      <c r="AD15" s="45">
        <v>1991</v>
      </c>
      <c r="AE15" s="45">
        <v>1992</v>
      </c>
      <c r="AF15" s="45">
        <v>1992</v>
      </c>
      <c r="AG15" s="45">
        <v>1992</v>
      </c>
      <c r="AH15" s="45">
        <v>1992</v>
      </c>
      <c r="AI15" s="45">
        <v>1992</v>
      </c>
      <c r="AJ15" s="45">
        <v>1992</v>
      </c>
      <c r="AK15" s="45">
        <v>1992</v>
      </c>
      <c r="AL15" s="45">
        <v>1992</v>
      </c>
      <c r="AM15" s="45">
        <v>1992</v>
      </c>
      <c r="AN15" s="45">
        <v>1992</v>
      </c>
      <c r="AO15" s="45">
        <v>1992</v>
      </c>
      <c r="AP15" s="45">
        <v>1992</v>
      </c>
      <c r="AQ15" s="45">
        <v>1993</v>
      </c>
      <c r="AR15" s="45">
        <v>1993</v>
      </c>
      <c r="AS15" s="45">
        <v>1993</v>
      </c>
      <c r="AT15" s="45">
        <v>1993</v>
      </c>
      <c r="AU15" s="45">
        <v>1993</v>
      </c>
      <c r="AV15" s="45">
        <v>1993</v>
      </c>
      <c r="AW15" s="45">
        <v>1993</v>
      </c>
      <c r="AX15" s="45">
        <v>1993</v>
      </c>
      <c r="AY15" s="45">
        <v>1993</v>
      </c>
      <c r="AZ15" s="45">
        <v>1993</v>
      </c>
      <c r="BA15" s="45">
        <v>1993</v>
      </c>
      <c r="BB15" s="45">
        <v>1993</v>
      </c>
      <c r="BC15" s="45">
        <v>1994</v>
      </c>
      <c r="BD15" s="45">
        <v>1994</v>
      </c>
      <c r="BE15" s="45">
        <v>1994</v>
      </c>
      <c r="BF15" s="45">
        <v>1994</v>
      </c>
      <c r="BG15" s="45">
        <v>1994</v>
      </c>
      <c r="BH15" s="45">
        <v>1994</v>
      </c>
      <c r="BI15" s="45">
        <v>1994</v>
      </c>
      <c r="BJ15" s="45">
        <v>1994</v>
      </c>
      <c r="BK15" s="45">
        <v>1994</v>
      </c>
      <c r="BL15" s="45">
        <v>1994</v>
      </c>
      <c r="BM15" s="45">
        <v>1994</v>
      </c>
      <c r="BN15" s="45">
        <v>1994</v>
      </c>
      <c r="BO15" s="45">
        <v>1995</v>
      </c>
      <c r="BP15" s="45">
        <v>1995</v>
      </c>
      <c r="BQ15" s="45">
        <v>1995</v>
      </c>
      <c r="BR15" s="45">
        <v>1995</v>
      </c>
      <c r="BS15" s="45">
        <v>1995</v>
      </c>
      <c r="BT15" s="45">
        <v>1995</v>
      </c>
      <c r="BU15" s="45">
        <v>1995</v>
      </c>
      <c r="BV15" s="45">
        <v>1995</v>
      </c>
      <c r="BW15" s="45">
        <v>1995</v>
      </c>
      <c r="BX15" s="45">
        <v>1995</v>
      </c>
      <c r="BY15" s="45">
        <v>1995</v>
      </c>
      <c r="BZ15" s="45">
        <v>1995</v>
      </c>
      <c r="CA15" s="45">
        <v>1996</v>
      </c>
      <c r="CB15" s="45">
        <v>1996</v>
      </c>
      <c r="CC15" s="45">
        <v>1996</v>
      </c>
      <c r="CD15" s="45">
        <v>1996</v>
      </c>
      <c r="CE15" s="45">
        <v>1996</v>
      </c>
      <c r="CF15" s="45">
        <v>1996</v>
      </c>
      <c r="CG15" s="45">
        <v>1996</v>
      </c>
      <c r="CH15" s="45">
        <v>1996</v>
      </c>
      <c r="CI15" s="45">
        <v>1996</v>
      </c>
      <c r="CJ15" s="45">
        <v>1996</v>
      </c>
      <c r="CK15" s="45">
        <v>1996</v>
      </c>
      <c r="CL15" s="45">
        <v>1996</v>
      </c>
      <c r="CM15" s="45">
        <v>1997</v>
      </c>
      <c r="CN15" s="45">
        <v>1997</v>
      </c>
      <c r="CO15" s="45">
        <v>1997</v>
      </c>
      <c r="CP15" s="45">
        <v>1997</v>
      </c>
      <c r="CQ15" s="45">
        <v>1997</v>
      </c>
      <c r="CR15" s="45">
        <v>1997</v>
      </c>
      <c r="CS15" s="45">
        <v>1997</v>
      </c>
      <c r="CT15" s="45">
        <v>1997</v>
      </c>
      <c r="CU15" s="45">
        <v>1997</v>
      </c>
      <c r="CV15" s="45">
        <v>1997</v>
      </c>
      <c r="CW15" s="45">
        <v>1997</v>
      </c>
      <c r="CX15" s="45">
        <v>1997</v>
      </c>
      <c r="CY15" s="45">
        <v>1998</v>
      </c>
      <c r="CZ15" s="45">
        <v>1998</v>
      </c>
      <c r="DA15" s="45">
        <v>1998</v>
      </c>
      <c r="DB15" s="45">
        <v>1998</v>
      </c>
      <c r="DC15" s="45">
        <v>1998</v>
      </c>
      <c r="DD15" s="45">
        <v>1998</v>
      </c>
      <c r="DE15" s="45">
        <v>1998</v>
      </c>
      <c r="DF15" s="45">
        <v>1998</v>
      </c>
      <c r="DG15" s="45">
        <v>1998</v>
      </c>
      <c r="DH15" s="45">
        <v>1998</v>
      </c>
      <c r="DI15" s="45">
        <v>1998</v>
      </c>
      <c r="DJ15" s="45">
        <v>1998</v>
      </c>
      <c r="DK15" s="45">
        <v>1999</v>
      </c>
      <c r="DL15" s="45">
        <v>1999</v>
      </c>
      <c r="DM15" s="45">
        <v>1999</v>
      </c>
      <c r="DN15" s="45">
        <v>1999</v>
      </c>
      <c r="DO15" s="45">
        <v>1999</v>
      </c>
      <c r="DP15" s="45">
        <v>1999</v>
      </c>
      <c r="DQ15" s="45">
        <v>1999</v>
      </c>
      <c r="DR15" s="45">
        <v>1999</v>
      </c>
      <c r="DS15" s="45">
        <v>1999</v>
      </c>
      <c r="DT15" s="45">
        <v>1999</v>
      </c>
      <c r="DU15" s="45">
        <v>1999</v>
      </c>
      <c r="DV15" s="45">
        <v>1999</v>
      </c>
      <c r="DW15" s="45">
        <v>2000</v>
      </c>
      <c r="DX15" s="45">
        <v>2000</v>
      </c>
      <c r="DY15" s="45">
        <v>2000</v>
      </c>
      <c r="DZ15" s="45">
        <v>2000</v>
      </c>
      <c r="EA15" s="45">
        <v>2000</v>
      </c>
      <c r="EB15" s="45">
        <v>2000</v>
      </c>
      <c r="EC15" s="45">
        <v>2000</v>
      </c>
      <c r="ED15" s="45">
        <v>2000</v>
      </c>
      <c r="EE15" s="45">
        <v>2000</v>
      </c>
      <c r="EF15" s="45">
        <v>2000</v>
      </c>
      <c r="EG15" s="45">
        <v>2000</v>
      </c>
      <c r="EH15" s="45">
        <v>2000</v>
      </c>
    </row>
    <row r="16" spans="1:138" ht="13.5" thickBot="1" x14ac:dyDescent="0.25">
      <c r="A16" s="18" t="s">
        <v>49</v>
      </c>
      <c r="B16" s="379">
        <v>695.66</v>
      </c>
      <c r="C16" s="379">
        <v>710.87</v>
      </c>
      <c r="D16" s="379">
        <v>728.38</v>
      </c>
      <c r="E16" s="379">
        <v>748.57</v>
      </c>
      <c r="F16" s="379">
        <v>775.8</v>
      </c>
      <c r="G16" s="379">
        <v>788.25</v>
      </c>
      <c r="H16" s="379">
        <v>818.61</v>
      </c>
      <c r="I16" s="379">
        <v>837.91</v>
      </c>
      <c r="J16" s="379" t="s">
        <v>324</v>
      </c>
      <c r="K16" s="379" t="s">
        <v>325</v>
      </c>
      <c r="L16" s="379" t="s">
        <v>326</v>
      </c>
      <c r="M16" s="379" t="s">
        <v>327</v>
      </c>
      <c r="N16" s="379" t="s">
        <v>328</v>
      </c>
      <c r="O16" s="379" t="s">
        <v>329</v>
      </c>
      <c r="Q16" s="32"/>
      <c r="S16" s="46">
        <v>1</v>
      </c>
      <c r="T16" s="46">
        <v>2</v>
      </c>
      <c r="U16" s="46">
        <v>3</v>
      </c>
      <c r="V16" s="46">
        <v>4</v>
      </c>
      <c r="W16" s="46">
        <v>5</v>
      </c>
      <c r="X16" s="46">
        <v>6</v>
      </c>
      <c r="Y16" s="46">
        <v>7</v>
      </c>
      <c r="Z16" s="46">
        <v>8</v>
      </c>
      <c r="AA16" s="46">
        <v>9</v>
      </c>
      <c r="AB16" s="46">
        <v>10</v>
      </c>
      <c r="AC16" s="46">
        <v>11</v>
      </c>
      <c r="AD16" s="46">
        <v>12</v>
      </c>
      <c r="AE16" s="46">
        <v>1</v>
      </c>
      <c r="AF16" s="46">
        <v>2</v>
      </c>
      <c r="AG16" s="46">
        <v>3</v>
      </c>
      <c r="AH16" s="46">
        <v>4</v>
      </c>
      <c r="AI16" s="46">
        <v>5</v>
      </c>
      <c r="AJ16" s="46">
        <v>6</v>
      </c>
      <c r="AK16" s="46">
        <v>7</v>
      </c>
      <c r="AL16" s="46">
        <v>8</v>
      </c>
      <c r="AM16" s="46">
        <v>9</v>
      </c>
      <c r="AN16" s="46">
        <v>10</v>
      </c>
      <c r="AO16" s="46">
        <v>11</v>
      </c>
      <c r="AP16" s="46">
        <v>12</v>
      </c>
      <c r="AQ16" s="46">
        <v>1</v>
      </c>
      <c r="AR16" s="46">
        <v>2</v>
      </c>
      <c r="AS16" s="46">
        <v>3</v>
      </c>
      <c r="AT16" s="46">
        <v>4</v>
      </c>
      <c r="AU16" s="46">
        <v>5</v>
      </c>
      <c r="AV16" s="46">
        <v>6</v>
      </c>
      <c r="AW16" s="46">
        <v>7</v>
      </c>
      <c r="AX16" s="46">
        <v>8</v>
      </c>
      <c r="AY16" s="46">
        <v>9</v>
      </c>
      <c r="AZ16" s="46">
        <v>10</v>
      </c>
      <c r="BA16" s="46">
        <v>11</v>
      </c>
      <c r="BB16" s="46">
        <v>12</v>
      </c>
      <c r="BC16" s="46">
        <v>1</v>
      </c>
      <c r="BD16" s="46">
        <v>2</v>
      </c>
      <c r="BE16" s="46">
        <v>3</v>
      </c>
      <c r="BF16" s="46">
        <v>4</v>
      </c>
      <c r="BG16" s="46">
        <v>5</v>
      </c>
      <c r="BH16" s="46">
        <v>6</v>
      </c>
      <c r="BI16" s="46">
        <v>7</v>
      </c>
      <c r="BJ16" s="46">
        <v>8</v>
      </c>
      <c r="BK16" s="46">
        <v>9</v>
      </c>
      <c r="BL16" s="46">
        <v>10</v>
      </c>
      <c r="BM16" s="46">
        <v>11</v>
      </c>
      <c r="BN16" s="46">
        <v>12</v>
      </c>
      <c r="BO16" s="46">
        <v>1</v>
      </c>
      <c r="BP16" s="46">
        <v>2</v>
      </c>
      <c r="BQ16" s="46">
        <v>3</v>
      </c>
      <c r="BR16" s="46">
        <v>4</v>
      </c>
      <c r="BS16" s="46">
        <v>5</v>
      </c>
      <c r="BT16" s="46">
        <v>6</v>
      </c>
      <c r="BU16" s="46">
        <v>7</v>
      </c>
      <c r="BV16" s="46">
        <v>8</v>
      </c>
      <c r="BW16" s="46">
        <v>9</v>
      </c>
      <c r="BX16" s="46">
        <v>10</v>
      </c>
      <c r="BY16" s="46">
        <v>11</v>
      </c>
      <c r="BZ16" s="46">
        <v>12</v>
      </c>
      <c r="CA16" s="46">
        <v>1</v>
      </c>
      <c r="CB16" s="46">
        <v>2</v>
      </c>
      <c r="CC16" s="46">
        <v>3</v>
      </c>
      <c r="CD16" s="46">
        <v>4</v>
      </c>
      <c r="CE16" s="46">
        <v>5</v>
      </c>
      <c r="CF16" s="46">
        <v>6</v>
      </c>
      <c r="CG16" s="46">
        <v>7</v>
      </c>
      <c r="CH16" s="46">
        <v>8</v>
      </c>
      <c r="CI16" s="46">
        <v>9</v>
      </c>
      <c r="CJ16" s="46">
        <v>10</v>
      </c>
      <c r="CK16" s="46">
        <v>11</v>
      </c>
      <c r="CL16" s="46">
        <v>12</v>
      </c>
      <c r="CM16" s="46">
        <v>1</v>
      </c>
      <c r="CN16" s="46">
        <v>2</v>
      </c>
      <c r="CO16" s="46">
        <v>3</v>
      </c>
      <c r="CP16" s="46">
        <v>4</v>
      </c>
      <c r="CQ16" s="46">
        <v>5</v>
      </c>
      <c r="CR16" s="46">
        <v>6</v>
      </c>
      <c r="CS16" s="46">
        <v>7</v>
      </c>
      <c r="CT16" s="46">
        <v>8</v>
      </c>
      <c r="CU16" s="46">
        <v>9</v>
      </c>
      <c r="CV16" s="46">
        <v>10</v>
      </c>
      <c r="CW16" s="46">
        <v>11</v>
      </c>
      <c r="CX16" s="46">
        <v>12</v>
      </c>
      <c r="CY16" s="46">
        <v>1</v>
      </c>
      <c r="CZ16" s="46">
        <v>2</v>
      </c>
      <c r="DA16" s="46">
        <v>3</v>
      </c>
      <c r="DB16" s="46">
        <v>4</v>
      </c>
      <c r="DC16" s="46">
        <v>5</v>
      </c>
      <c r="DD16" s="46">
        <v>6</v>
      </c>
      <c r="DE16" s="46">
        <v>7</v>
      </c>
      <c r="DF16" s="46">
        <v>8</v>
      </c>
      <c r="DG16" s="46">
        <v>9</v>
      </c>
      <c r="DH16" s="46">
        <v>10</v>
      </c>
      <c r="DI16" s="46">
        <v>11</v>
      </c>
      <c r="DJ16" s="46">
        <v>12</v>
      </c>
      <c r="DK16" s="46">
        <v>1</v>
      </c>
      <c r="DL16" s="46">
        <v>2</v>
      </c>
      <c r="DM16" s="46">
        <v>3</v>
      </c>
      <c r="DN16" s="46">
        <v>4</v>
      </c>
      <c r="DO16" s="46">
        <v>5</v>
      </c>
      <c r="DP16" s="46">
        <v>6</v>
      </c>
      <c r="DQ16" s="46">
        <v>7</v>
      </c>
      <c r="DR16" s="46">
        <v>8</v>
      </c>
      <c r="DS16" s="46">
        <v>9</v>
      </c>
      <c r="DT16" s="46">
        <v>10</v>
      </c>
      <c r="DU16" s="46">
        <v>11</v>
      </c>
      <c r="DV16" s="46">
        <v>12</v>
      </c>
      <c r="DW16" s="46">
        <v>1</v>
      </c>
      <c r="DX16" s="46">
        <v>2</v>
      </c>
      <c r="DY16" s="46">
        <v>3</v>
      </c>
      <c r="DZ16" s="46">
        <v>4</v>
      </c>
      <c r="EA16" s="46">
        <v>5</v>
      </c>
      <c r="EB16" s="46">
        <v>6</v>
      </c>
      <c r="EC16" s="46">
        <v>7</v>
      </c>
      <c r="ED16" s="46">
        <v>8</v>
      </c>
      <c r="EE16" s="46">
        <v>9</v>
      </c>
      <c r="EF16" s="46">
        <v>10</v>
      </c>
      <c r="EG16" s="46">
        <v>11</v>
      </c>
      <c r="EH16" s="46">
        <v>12</v>
      </c>
    </row>
    <row r="17" spans="1:138" ht="13.5" thickBot="1" x14ac:dyDescent="0.25">
      <c r="B17" s="379">
        <v>695.66</v>
      </c>
      <c r="C17" s="379">
        <v>710.87</v>
      </c>
      <c r="D17" s="379">
        <v>728.38</v>
      </c>
      <c r="E17" s="379">
        <v>748.57</v>
      </c>
      <c r="F17" s="379">
        <v>775.8</v>
      </c>
      <c r="G17" s="379">
        <v>788.25</v>
      </c>
      <c r="H17" s="379">
        <v>818.61</v>
      </c>
      <c r="I17" s="379">
        <v>837.91</v>
      </c>
      <c r="J17" s="379">
        <v>848.85</v>
      </c>
      <c r="K17" s="379">
        <v>881.43</v>
      </c>
      <c r="L17" s="379">
        <v>893.41</v>
      </c>
      <c r="M17" s="379">
        <v>906.09</v>
      </c>
      <c r="N17" s="379">
        <v>920.12</v>
      </c>
      <c r="O17" s="379">
        <v>938.36</v>
      </c>
      <c r="Q17" s="32"/>
      <c r="R17" s="47" t="s">
        <v>49</v>
      </c>
      <c r="S17" s="381" t="s">
        <v>336</v>
      </c>
      <c r="T17" s="381" t="s">
        <v>337</v>
      </c>
      <c r="U17" s="381" t="s">
        <v>338</v>
      </c>
      <c r="V17" s="381" t="s">
        <v>339</v>
      </c>
      <c r="W17" s="381" t="s">
        <v>340</v>
      </c>
      <c r="X17" s="381" t="s">
        <v>341</v>
      </c>
      <c r="Y17" s="381" t="s">
        <v>342</v>
      </c>
      <c r="Z17" s="381" t="s">
        <v>343</v>
      </c>
      <c r="AA17" s="381" t="s">
        <v>344</v>
      </c>
      <c r="AB17" s="381" t="s">
        <v>345</v>
      </c>
      <c r="AC17" s="381" t="s">
        <v>346</v>
      </c>
      <c r="AD17" s="381" t="s">
        <v>347</v>
      </c>
      <c r="AE17" s="381" t="s">
        <v>348</v>
      </c>
      <c r="AF17" s="381" t="s">
        <v>349</v>
      </c>
      <c r="AG17" s="381" t="s">
        <v>350</v>
      </c>
      <c r="AH17" s="381" t="s">
        <v>351</v>
      </c>
      <c r="AI17" s="381" t="s">
        <v>352</v>
      </c>
      <c r="AJ17" s="381" t="s">
        <v>353</v>
      </c>
      <c r="AK17" s="381" t="s">
        <v>354</v>
      </c>
      <c r="AL17" s="381" t="s">
        <v>355</v>
      </c>
      <c r="AM17" s="381" t="s">
        <v>356</v>
      </c>
      <c r="AN17" s="381" t="s">
        <v>357</v>
      </c>
      <c r="AO17" s="381" t="s">
        <v>358</v>
      </c>
      <c r="AP17" s="381" t="s">
        <v>359</v>
      </c>
      <c r="AQ17" s="381" t="s">
        <v>360</v>
      </c>
      <c r="AR17" s="381" t="s">
        <v>361</v>
      </c>
      <c r="AS17" s="381" t="s">
        <v>362</v>
      </c>
      <c r="AT17" s="381" t="s">
        <v>363</v>
      </c>
      <c r="AU17" s="381" t="s">
        <v>364</v>
      </c>
      <c r="AV17" s="381" t="s">
        <v>365</v>
      </c>
      <c r="AW17" s="381" t="s">
        <v>366</v>
      </c>
      <c r="AX17" s="381" t="s">
        <v>367</v>
      </c>
      <c r="AY17" s="381" t="s">
        <v>368</v>
      </c>
      <c r="AZ17" s="381" t="s">
        <v>369</v>
      </c>
      <c r="BA17" s="381" t="s">
        <v>370</v>
      </c>
      <c r="BB17" s="381" t="s">
        <v>371</v>
      </c>
      <c r="BC17" s="381" t="s">
        <v>372</v>
      </c>
      <c r="BD17" s="381" t="s">
        <v>373</v>
      </c>
      <c r="BE17" s="381" t="s">
        <v>374</v>
      </c>
      <c r="BF17" s="381" t="s">
        <v>375</v>
      </c>
      <c r="BG17" s="381" t="s">
        <v>376</v>
      </c>
      <c r="BH17" s="381" t="s">
        <v>377</v>
      </c>
      <c r="BI17" s="381" t="s">
        <v>378</v>
      </c>
      <c r="BJ17" s="381" t="s">
        <v>379</v>
      </c>
      <c r="BK17" s="381" t="s">
        <v>380</v>
      </c>
      <c r="BL17" s="381" t="s">
        <v>381</v>
      </c>
      <c r="BM17" s="381" t="s">
        <v>382</v>
      </c>
      <c r="BN17" s="381" t="s">
        <v>383</v>
      </c>
      <c r="BO17" s="381" t="s">
        <v>384</v>
      </c>
      <c r="BP17" s="381" t="s">
        <v>385</v>
      </c>
      <c r="BQ17" s="381" t="s">
        <v>386</v>
      </c>
      <c r="BR17" s="381" t="s">
        <v>387</v>
      </c>
      <c r="BS17" s="381" t="s">
        <v>388</v>
      </c>
      <c r="BT17" s="381" t="s">
        <v>389</v>
      </c>
      <c r="BU17" s="381" t="s">
        <v>390</v>
      </c>
      <c r="BV17" s="381" t="s">
        <v>391</v>
      </c>
      <c r="BW17" s="381" t="s">
        <v>392</v>
      </c>
      <c r="BX17" s="381" t="s">
        <v>393</v>
      </c>
      <c r="BY17" s="381" t="s">
        <v>394</v>
      </c>
      <c r="BZ17" s="381" t="s">
        <v>395</v>
      </c>
      <c r="CA17" s="381" t="s">
        <v>396</v>
      </c>
      <c r="CB17" s="381" t="s">
        <v>397</v>
      </c>
      <c r="CC17" s="381" t="s">
        <v>398</v>
      </c>
      <c r="CD17" s="381" t="s">
        <v>399</v>
      </c>
      <c r="CE17" s="381" t="s">
        <v>400</v>
      </c>
      <c r="CF17" s="381" t="s">
        <v>401</v>
      </c>
      <c r="CG17" s="381" t="s">
        <v>402</v>
      </c>
      <c r="CH17" s="381" t="s">
        <v>403</v>
      </c>
      <c r="CI17" s="381" t="s">
        <v>404</v>
      </c>
      <c r="CJ17" s="381" t="s">
        <v>405</v>
      </c>
      <c r="CK17" s="381" t="s">
        <v>406</v>
      </c>
      <c r="CL17" s="381" t="s">
        <v>407</v>
      </c>
      <c r="CM17" s="381" t="s">
        <v>408</v>
      </c>
      <c r="CN17" s="381" t="s">
        <v>409</v>
      </c>
      <c r="CO17" s="381" t="s">
        <v>410</v>
      </c>
      <c r="CP17" s="381" t="s">
        <v>411</v>
      </c>
      <c r="CQ17" s="381" t="s">
        <v>412</v>
      </c>
      <c r="CR17" s="381" t="s">
        <v>413</v>
      </c>
      <c r="CS17" s="381" t="s">
        <v>414</v>
      </c>
      <c r="CT17" s="381" t="s">
        <v>415</v>
      </c>
      <c r="CU17" s="381" t="s">
        <v>416</v>
      </c>
      <c r="CV17" s="381" t="s">
        <v>417</v>
      </c>
      <c r="CW17" s="381" t="s">
        <v>418</v>
      </c>
      <c r="CX17" s="381" t="s">
        <v>419</v>
      </c>
      <c r="CY17" s="381" t="s">
        <v>420</v>
      </c>
      <c r="CZ17" s="381" t="s">
        <v>421</v>
      </c>
      <c r="DA17" s="381" t="s">
        <v>422</v>
      </c>
      <c r="DB17" s="381" t="s">
        <v>423</v>
      </c>
      <c r="DC17" s="381" t="s">
        <v>424</v>
      </c>
      <c r="DD17" s="381" t="s">
        <v>425</v>
      </c>
      <c r="DE17" s="381" t="s">
        <v>426</v>
      </c>
      <c r="DF17" s="381" t="s">
        <v>427</v>
      </c>
      <c r="DG17" s="381" t="s">
        <v>428</v>
      </c>
      <c r="DH17" s="381" t="s">
        <v>429</v>
      </c>
      <c r="DI17" s="381" t="s">
        <v>430</v>
      </c>
      <c r="DJ17" s="381" t="s">
        <v>431</v>
      </c>
      <c r="DK17" s="381" t="s">
        <v>432</v>
      </c>
      <c r="DL17" s="381" t="s">
        <v>433</v>
      </c>
      <c r="DM17" s="381" t="s">
        <v>434</v>
      </c>
      <c r="DN17" s="381" t="s">
        <v>435</v>
      </c>
      <c r="DO17" s="381" t="s">
        <v>436</v>
      </c>
      <c r="DP17" s="381" t="s">
        <v>437</v>
      </c>
      <c r="DQ17" s="381" t="s">
        <v>438</v>
      </c>
      <c r="DR17" s="381" t="s">
        <v>439</v>
      </c>
      <c r="DS17" s="381" t="s">
        <v>440</v>
      </c>
      <c r="DT17" s="381" t="s">
        <v>441</v>
      </c>
      <c r="DU17" s="381" t="s">
        <v>442</v>
      </c>
      <c r="DV17" s="381" t="s">
        <v>443</v>
      </c>
      <c r="DW17" s="381" t="s">
        <v>444</v>
      </c>
      <c r="DX17" s="381" t="s">
        <v>445</v>
      </c>
      <c r="DY17" s="381" t="s">
        <v>446</v>
      </c>
      <c r="DZ17" s="381" t="s">
        <v>447</v>
      </c>
      <c r="EA17" s="381" t="s">
        <v>448</v>
      </c>
      <c r="EB17" s="381" t="s">
        <v>449</v>
      </c>
      <c r="EC17" s="381" t="s">
        <v>450</v>
      </c>
      <c r="ED17" s="381" t="s">
        <v>451</v>
      </c>
      <c r="EE17" s="381" t="s">
        <v>452</v>
      </c>
      <c r="EF17" s="381" t="s">
        <v>453</v>
      </c>
      <c r="EG17" s="381" t="s">
        <v>454</v>
      </c>
      <c r="EH17" s="381" t="s">
        <v>455</v>
      </c>
    </row>
    <row r="18" spans="1:138" ht="13.5" thickBot="1" x14ac:dyDescent="0.25">
      <c r="C18" s="112">
        <f>LN(C17/B17)</f>
        <v>2.1628536787369972E-2</v>
      </c>
      <c r="D18" s="112">
        <f t="shared" ref="D18:M18" si="0">LN(D17/C17)</f>
        <v>2.433331801866611E-2</v>
      </c>
      <c r="E18" s="112">
        <f t="shared" si="0"/>
        <v>2.7341829825483152E-2</v>
      </c>
      <c r="F18" s="112">
        <f t="shared" si="0"/>
        <v>3.5730035144859583E-2</v>
      </c>
      <c r="G18" s="112">
        <f t="shared" si="0"/>
        <v>1.5920543419303428E-2</v>
      </c>
      <c r="H18" s="112">
        <f t="shared" si="0"/>
        <v>3.7792481537017898E-2</v>
      </c>
      <c r="I18" s="112">
        <f t="shared" si="0"/>
        <v>2.3302916184236758E-2</v>
      </c>
      <c r="J18" s="112">
        <f t="shared" si="0"/>
        <v>1.297179611021774E-2</v>
      </c>
      <c r="K18" s="112">
        <f t="shared" si="0"/>
        <v>3.7663096331707037E-2</v>
      </c>
      <c r="L18" s="112">
        <f t="shared" si="0"/>
        <v>1.3500013461562871E-2</v>
      </c>
      <c r="M18" s="112">
        <f t="shared" si="0"/>
        <v>1.4093036807743632E-2</v>
      </c>
      <c r="N18" s="112">
        <f>LN(N17/M17)</f>
        <v>1.536545746216181E-2</v>
      </c>
      <c r="O18" s="112">
        <f>LN(O17/N17)</f>
        <v>1.9629574364994219E-2</v>
      </c>
      <c r="P18" s="112">
        <f>AVERAGE(L18:O18)</f>
        <v>1.564702052411563E-2</v>
      </c>
      <c r="Q18" s="32"/>
      <c r="S18" s="418" t="str">
        <f>LEFT(S17,LEN(S17)-3)</f>
        <v>560.53</v>
      </c>
      <c r="T18" s="418" t="str">
        <f t="shared" ref="T18:CE18" si="1">LEFT(T17,LEN(T17)-3)</f>
        <v>567.77</v>
      </c>
      <c r="U18" s="418" t="str">
        <f t="shared" si="1"/>
        <v>567.83</v>
      </c>
      <c r="V18" s="418" t="str">
        <f t="shared" si="1"/>
        <v>570.77</v>
      </c>
      <c r="W18" s="418" t="str">
        <f t="shared" si="1"/>
        <v>573.76</v>
      </c>
      <c r="X18" s="418" t="str">
        <f t="shared" si="1"/>
        <v>575.57</v>
      </c>
      <c r="Y18" s="418" t="str">
        <f t="shared" si="1"/>
        <v>576.99</v>
      </c>
      <c r="Z18" s="418" t="str">
        <f t="shared" si="1"/>
        <v>579.08</v>
      </c>
      <c r="AA18" s="418" t="str">
        <f t="shared" si="1"/>
        <v>580.44</v>
      </c>
      <c r="AB18" s="418" t="str">
        <f t="shared" si="1"/>
        <v>584.44</v>
      </c>
      <c r="AC18" s="418" t="str">
        <f t="shared" si="1"/>
        <v>585.23</v>
      </c>
      <c r="AD18" s="418" t="str">
        <f t="shared" si="1"/>
        <v>588.43</v>
      </c>
      <c r="AE18" s="418" t="str">
        <f t="shared" si="1"/>
        <v>589.81</v>
      </c>
      <c r="AF18" s="418" t="str">
        <f t="shared" si="1"/>
        <v>590.87</v>
      </c>
      <c r="AG18" s="418" t="str">
        <f t="shared" si="1"/>
        <v>588.05</v>
      </c>
      <c r="AH18" s="418" t="str">
        <f t="shared" si="1"/>
        <v>593.11</v>
      </c>
      <c r="AI18" s="418" t="str">
        <f t="shared" si="1"/>
        <v>598.11</v>
      </c>
      <c r="AJ18" s="418" t="str">
        <f t="shared" si="1"/>
        <v>596.75</v>
      </c>
      <c r="AK18" s="418" t="str">
        <f t="shared" si="1"/>
        <v>599.74</v>
      </c>
      <c r="AL18" s="418" t="str">
        <f t="shared" si="1"/>
        <v>603.59</v>
      </c>
      <c r="AM18" s="418" t="str">
        <f t="shared" si="1"/>
        <v>603.43</v>
      </c>
      <c r="AN18" s="418" t="str">
        <f t="shared" si="1"/>
        <v>606.19</v>
      </c>
      <c r="AO18" s="418" t="str">
        <f t="shared" si="1"/>
        <v>606.20</v>
      </c>
      <c r="AP18" s="418" t="str">
        <f t="shared" si="1"/>
        <v>606.98</v>
      </c>
      <c r="AQ18" s="418" t="str">
        <f t="shared" si="1"/>
        <v>608.85</v>
      </c>
      <c r="AR18" s="418" t="str">
        <f t="shared" si="1"/>
        <v>608.64</v>
      </c>
      <c r="AS18" s="418" t="str">
        <f t="shared" si="1"/>
        <v>608.37</v>
      </c>
      <c r="AT18" s="418" t="str">
        <f t="shared" si="1"/>
        <v>611.73</v>
      </c>
      <c r="AU18" s="418" t="str">
        <f t="shared" si="1"/>
        <v>610.23</v>
      </c>
      <c r="AV18" s="418" t="str">
        <f t="shared" si="1"/>
        <v>611.22</v>
      </c>
      <c r="AW18" s="418" t="str">
        <f t="shared" si="1"/>
        <v>613.60</v>
      </c>
      <c r="AX18" s="418" t="str">
        <f t="shared" si="1"/>
        <v>612.12</v>
      </c>
      <c r="AY18" s="418" t="str">
        <f t="shared" si="1"/>
        <v>613.91</v>
      </c>
      <c r="AZ18" s="418" t="str">
        <f t="shared" si="1"/>
        <v>614.54</v>
      </c>
      <c r="BA18" s="418" t="str">
        <f t="shared" si="1"/>
        <v>615.18</v>
      </c>
      <c r="BB18" s="418" t="str">
        <f t="shared" si="1"/>
        <v>616.91</v>
      </c>
      <c r="BC18" s="418" t="str">
        <f t="shared" si="1"/>
        <v>617.54</v>
      </c>
      <c r="BD18" s="418" t="str">
        <f t="shared" si="1"/>
        <v>619.45</v>
      </c>
      <c r="BE18" s="418" t="str">
        <f t="shared" si="1"/>
        <v>624.42</v>
      </c>
      <c r="BF18" s="418" t="str">
        <f t="shared" si="1"/>
        <v>627.55</v>
      </c>
      <c r="BG18" s="418" t="str">
        <f t="shared" si="1"/>
        <v>627.47</v>
      </c>
      <c r="BH18" s="418" t="str">
        <f t="shared" si="1"/>
        <v>629.79</v>
      </c>
      <c r="BI18" s="418" t="str">
        <f t="shared" si="1"/>
        <v>631.65</v>
      </c>
      <c r="BJ18" s="418" t="str">
        <f t="shared" si="1"/>
        <v>629.75</v>
      </c>
      <c r="BK18" s="418" t="str">
        <f t="shared" si="1"/>
        <v>631.92</v>
      </c>
      <c r="BL18" s="418" t="str">
        <f t="shared" si="1"/>
        <v>631.04</v>
      </c>
      <c r="BM18" s="418" t="str">
        <f t="shared" si="1"/>
        <v>632.04</v>
      </c>
      <c r="BN18" s="418" t="str">
        <f t="shared" si="1"/>
        <v>631.85</v>
      </c>
      <c r="BO18" s="418" t="str">
        <f t="shared" si="1"/>
        <v>632.51</v>
      </c>
      <c r="BP18" s="418" t="str">
        <f t="shared" si="1"/>
        <v>631.71</v>
      </c>
      <c r="BQ18" s="418" t="str">
        <f t="shared" si="1"/>
        <v>632.52</v>
      </c>
      <c r="BR18" s="418" t="str">
        <f t="shared" si="1"/>
        <v>628.76</v>
      </c>
      <c r="BS18" s="418" t="str">
        <f t="shared" si="1"/>
        <v>627.92</v>
      </c>
      <c r="BT18" s="418" t="str">
        <f t="shared" si="1"/>
        <v>631.46</v>
      </c>
      <c r="BU18" s="418" t="str">
        <f t="shared" si="1"/>
        <v>631.37</v>
      </c>
      <c r="BV18" s="418" t="str">
        <f t="shared" si="1"/>
        <v>636.62</v>
      </c>
      <c r="BW18" s="418" t="str">
        <f t="shared" si="1"/>
        <v>637.87</v>
      </c>
      <c r="BX18" s="418" t="str">
        <f t="shared" si="1"/>
        <v>634.79</v>
      </c>
      <c r="BY18" s="418" t="str">
        <f t="shared" si="1"/>
        <v>636.71</v>
      </c>
      <c r="BZ18" s="418" t="str">
        <f t="shared" si="1"/>
        <v>645.52</v>
      </c>
      <c r="CA18" s="418" t="str">
        <f t="shared" si="1"/>
        <v>636.10</v>
      </c>
      <c r="CB18" s="418" t="str">
        <f t="shared" si="1"/>
        <v>638.04</v>
      </c>
      <c r="CC18" s="418" t="str">
        <f t="shared" si="1"/>
        <v>641.65</v>
      </c>
      <c r="CD18" s="418" t="str">
        <f t="shared" si="1"/>
        <v>641.52</v>
      </c>
      <c r="CE18" s="418" t="str">
        <f t="shared" si="1"/>
        <v>647.62</v>
      </c>
      <c r="CF18" s="418" t="str">
        <f t="shared" ref="CF18:EH18" si="2">LEFT(CF17,LEN(CF17)-3)</f>
        <v>652.29</v>
      </c>
      <c r="CG18" s="418" t="str">
        <f t="shared" si="2"/>
        <v>652.35</v>
      </c>
      <c r="CH18" s="418" t="str">
        <f t="shared" si="2"/>
        <v>653.31</v>
      </c>
      <c r="CI18" s="418" t="str">
        <f t="shared" si="2"/>
        <v>652.52</v>
      </c>
      <c r="CJ18" s="418" t="str">
        <f t="shared" si="2"/>
        <v>658.18</v>
      </c>
      <c r="CK18" s="418" t="str">
        <f t="shared" si="2"/>
        <v>658.80</v>
      </c>
      <c r="CL18" s="418" t="str">
        <f t="shared" si="2"/>
        <v>659.12</v>
      </c>
      <c r="CM18" s="418" t="str">
        <f t="shared" si="2"/>
        <v>661.06</v>
      </c>
      <c r="CN18" s="418" t="str">
        <f t="shared" si="2"/>
        <v>662.16</v>
      </c>
      <c r="CO18" s="418" t="str">
        <f t="shared" si="2"/>
        <v>661.00</v>
      </c>
      <c r="CP18" s="418" t="str">
        <f t="shared" si="2"/>
        <v>661.84</v>
      </c>
      <c r="CQ18" s="418" t="str">
        <f t="shared" si="2"/>
        <v>669.30</v>
      </c>
      <c r="CR18" s="418" t="str">
        <f t="shared" si="2"/>
        <v>660.14</v>
      </c>
      <c r="CS18" s="418" t="str">
        <f t="shared" si="2"/>
        <v>660.15</v>
      </c>
      <c r="CT18" s="418" t="str">
        <f t="shared" si="2"/>
        <v>660.78</v>
      </c>
      <c r="CU18" s="418" t="str">
        <f t="shared" si="2"/>
        <v>665.70</v>
      </c>
      <c r="CV18" s="418" t="str">
        <f t="shared" si="2"/>
        <v>663.30</v>
      </c>
      <c r="CW18" s="418" t="str">
        <f t="shared" si="2"/>
        <v>669.77</v>
      </c>
      <c r="CX18" s="418" t="str">
        <f t="shared" si="2"/>
        <v>666.89</v>
      </c>
      <c r="CY18" s="418" t="str">
        <f t="shared" si="2"/>
        <v>673.03</v>
      </c>
      <c r="CZ18" s="418" t="str">
        <f t="shared" si="2"/>
        <v>675.61</v>
      </c>
      <c r="DA18" s="418" t="str">
        <f t="shared" si="2"/>
        <v>672.84</v>
      </c>
      <c r="DB18" s="418" t="str">
        <f t="shared" si="2"/>
        <v>674.36</v>
      </c>
      <c r="DC18" s="418" t="str">
        <f t="shared" si="2"/>
        <v>669.97</v>
      </c>
      <c r="DD18" s="418" t="str">
        <f t="shared" si="2"/>
        <v>670.05</v>
      </c>
      <c r="DE18" s="418" t="str">
        <f t="shared" si="2"/>
        <v>667.01</v>
      </c>
      <c r="DF18" s="418" t="str">
        <f t="shared" si="2"/>
        <v>670.41</v>
      </c>
      <c r="DG18" s="418" t="str">
        <f t="shared" si="2"/>
        <v>670.32</v>
      </c>
      <c r="DH18" s="418" t="str">
        <f t="shared" si="2"/>
        <v>675.97</v>
      </c>
      <c r="DI18" s="418" t="str">
        <f t="shared" si="2"/>
        <v>674.08</v>
      </c>
      <c r="DJ18" s="418" t="str">
        <f t="shared" si="2"/>
        <v>676.71</v>
      </c>
      <c r="DK18" s="418" t="str">
        <f t="shared" si="2"/>
        <v>675.36</v>
      </c>
      <c r="DL18" s="418" t="str">
        <f t="shared" si="2"/>
        <v>675.70</v>
      </c>
      <c r="DM18" s="418" t="str">
        <f t="shared" si="2"/>
        <v>677.45</v>
      </c>
      <c r="DN18" s="418" t="str">
        <f t="shared" si="2"/>
        <v>679.60</v>
      </c>
      <c r="DO18" s="418" t="str">
        <f t="shared" si="2"/>
        <v>684.35</v>
      </c>
      <c r="DP18" s="418" t="str">
        <f t="shared" si="2"/>
        <v>684.20</v>
      </c>
      <c r="DQ18" s="418" t="str">
        <f t="shared" si="2"/>
        <v>687.87</v>
      </c>
      <c r="DR18" s="418" t="str">
        <f t="shared" si="2"/>
        <v>686.56</v>
      </c>
      <c r="DS18" s="418" t="str">
        <f t="shared" si="2"/>
        <v>686.46</v>
      </c>
      <c r="DT18" s="418" t="str">
        <f t="shared" si="2"/>
        <v>687.02</v>
      </c>
      <c r="DU18" s="418" t="str">
        <f t="shared" si="2"/>
        <v>686.22</v>
      </c>
      <c r="DV18" s="418" t="str">
        <f t="shared" si="2"/>
        <v>691.02</v>
      </c>
      <c r="DW18" s="418" t="str">
        <f t="shared" si="2"/>
        <v>692.50</v>
      </c>
      <c r="DX18" s="418" t="str">
        <f t="shared" si="2"/>
        <v>694.79</v>
      </c>
      <c r="DY18" s="418" t="str">
        <f t="shared" si="2"/>
        <v>695.61</v>
      </c>
      <c r="DZ18" s="418" t="str">
        <f t="shared" si="2"/>
        <v>697.48</v>
      </c>
      <c r="EA18" s="418" t="str">
        <f t="shared" si="2"/>
        <v>698.65</v>
      </c>
      <c r="EB18" s="418" t="str">
        <f t="shared" si="2"/>
        <v>699.54</v>
      </c>
      <c r="EC18" s="418" t="str">
        <f t="shared" si="2"/>
        <v>701.24</v>
      </c>
      <c r="ED18" s="418" t="str">
        <f t="shared" si="2"/>
        <v>703.40</v>
      </c>
      <c r="EE18" s="418" t="str">
        <f t="shared" si="2"/>
        <v>703.73</v>
      </c>
      <c r="EF18" s="418" t="str">
        <f t="shared" si="2"/>
        <v>702.90</v>
      </c>
      <c r="EG18" s="418" t="str">
        <f t="shared" si="2"/>
        <v>704.07</v>
      </c>
      <c r="EH18" s="418" t="str">
        <f t="shared" si="2"/>
        <v>705.23</v>
      </c>
    </row>
    <row r="19" spans="1:138" ht="13.5" thickBot="1" x14ac:dyDescent="0.25">
      <c r="B19" s="48" t="s">
        <v>50</v>
      </c>
      <c r="Q19" s="32"/>
      <c r="S19" s="382">
        <v>560.53</v>
      </c>
      <c r="T19" s="382">
        <v>567.77</v>
      </c>
      <c r="U19" s="382">
        <v>567.83000000000004</v>
      </c>
      <c r="V19" s="382">
        <v>570.77</v>
      </c>
      <c r="W19" s="382">
        <v>573.76</v>
      </c>
      <c r="X19" s="382">
        <v>575.57000000000005</v>
      </c>
      <c r="Y19" s="382">
        <v>576.99</v>
      </c>
      <c r="Z19" s="382">
        <v>579.08000000000004</v>
      </c>
      <c r="AA19" s="382">
        <v>580.44000000000005</v>
      </c>
      <c r="AB19" s="382">
        <v>584.44000000000005</v>
      </c>
      <c r="AC19" s="382">
        <v>585.23</v>
      </c>
      <c r="AD19" s="382">
        <v>588.42999999999995</v>
      </c>
      <c r="AE19" s="382">
        <v>589.80999999999995</v>
      </c>
      <c r="AF19" s="382">
        <v>590.87</v>
      </c>
      <c r="AG19" s="382">
        <v>588.04999999999995</v>
      </c>
      <c r="AH19" s="382">
        <v>593.11</v>
      </c>
      <c r="AI19" s="382">
        <v>598.11</v>
      </c>
      <c r="AJ19" s="382">
        <v>596.75</v>
      </c>
      <c r="AK19" s="382">
        <v>599.74</v>
      </c>
      <c r="AL19" s="382">
        <v>603.59</v>
      </c>
      <c r="AM19" s="382">
        <v>603.42999999999995</v>
      </c>
      <c r="AN19" s="382">
        <v>606.19000000000005</v>
      </c>
      <c r="AO19" s="382">
        <v>606.20000000000005</v>
      </c>
      <c r="AP19" s="382">
        <v>606.98</v>
      </c>
      <c r="AQ19" s="382">
        <v>608.85</v>
      </c>
      <c r="AR19" s="382">
        <v>608.64</v>
      </c>
      <c r="AS19" s="382">
        <v>608.37</v>
      </c>
      <c r="AT19" s="382">
        <v>611.73</v>
      </c>
      <c r="AU19" s="382">
        <v>610.23</v>
      </c>
      <c r="AV19" s="382">
        <v>611.22</v>
      </c>
      <c r="AW19" s="382">
        <v>613.6</v>
      </c>
      <c r="AX19" s="382">
        <v>612.12</v>
      </c>
      <c r="AY19" s="382">
        <v>613.91</v>
      </c>
      <c r="AZ19" s="382">
        <v>614.54</v>
      </c>
      <c r="BA19" s="382">
        <v>615.17999999999995</v>
      </c>
      <c r="BB19" s="382">
        <v>616.91</v>
      </c>
      <c r="BC19" s="382">
        <v>617.54</v>
      </c>
      <c r="BD19" s="382">
        <v>619.45000000000005</v>
      </c>
      <c r="BE19" s="382">
        <v>624.41999999999996</v>
      </c>
      <c r="BF19" s="382">
        <v>627.54999999999995</v>
      </c>
      <c r="BG19" s="382">
        <v>627.47</v>
      </c>
      <c r="BH19" s="382">
        <v>629.79</v>
      </c>
      <c r="BI19" s="382">
        <v>631.65</v>
      </c>
      <c r="BJ19" s="382">
        <v>629.75</v>
      </c>
      <c r="BK19" s="382">
        <v>631.91999999999996</v>
      </c>
      <c r="BL19" s="382">
        <v>631.04</v>
      </c>
      <c r="BM19" s="382">
        <v>632.04</v>
      </c>
      <c r="BN19" s="382">
        <v>631.85</v>
      </c>
      <c r="BO19" s="382">
        <v>632.51</v>
      </c>
      <c r="BP19" s="382">
        <v>631.71</v>
      </c>
      <c r="BQ19" s="382">
        <v>632.52</v>
      </c>
      <c r="BR19" s="382">
        <v>628.76</v>
      </c>
      <c r="BS19" s="382">
        <v>627.91999999999996</v>
      </c>
      <c r="BT19" s="382">
        <v>631.46</v>
      </c>
      <c r="BU19" s="382">
        <v>631.37</v>
      </c>
      <c r="BV19" s="382">
        <v>636.62</v>
      </c>
      <c r="BW19" s="382">
        <v>637.87</v>
      </c>
      <c r="BX19" s="382">
        <v>634.79</v>
      </c>
      <c r="BY19" s="382">
        <v>636.71</v>
      </c>
      <c r="BZ19" s="382">
        <v>645.52</v>
      </c>
      <c r="CA19" s="382">
        <v>636.1</v>
      </c>
      <c r="CB19" s="382">
        <v>638.04</v>
      </c>
      <c r="CC19" s="382">
        <v>641.65</v>
      </c>
      <c r="CD19" s="382">
        <v>641.52</v>
      </c>
      <c r="CE19" s="382">
        <v>647.62</v>
      </c>
      <c r="CF19" s="382">
        <v>652.29</v>
      </c>
      <c r="CG19" s="382">
        <v>652.35</v>
      </c>
      <c r="CH19" s="382">
        <v>653.30999999999995</v>
      </c>
      <c r="CI19" s="382">
        <v>652.52</v>
      </c>
      <c r="CJ19" s="382">
        <v>658.18</v>
      </c>
      <c r="CK19" s="382">
        <v>658.8</v>
      </c>
      <c r="CL19" s="382">
        <v>659.12</v>
      </c>
      <c r="CM19" s="382">
        <v>661.06</v>
      </c>
      <c r="CN19" s="382">
        <v>662.16</v>
      </c>
      <c r="CO19" s="382">
        <v>661</v>
      </c>
      <c r="CP19" s="382">
        <v>661.84</v>
      </c>
      <c r="CQ19" s="382">
        <v>669.3</v>
      </c>
      <c r="CR19" s="382">
        <v>660.14</v>
      </c>
      <c r="CS19" s="382">
        <v>660.15</v>
      </c>
      <c r="CT19" s="382">
        <v>660.78</v>
      </c>
      <c r="CU19" s="382">
        <v>665.7</v>
      </c>
      <c r="CV19" s="382">
        <v>663.3</v>
      </c>
      <c r="CW19" s="382">
        <v>669.77</v>
      </c>
      <c r="CX19" s="382">
        <v>666.89</v>
      </c>
      <c r="CY19" s="382">
        <v>673.03</v>
      </c>
      <c r="CZ19" s="382">
        <v>675.61</v>
      </c>
      <c r="DA19" s="382">
        <v>672.84</v>
      </c>
      <c r="DB19" s="382">
        <v>674.36</v>
      </c>
      <c r="DC19" s="382">
        <v>669.97</v>
      </c>
      <c r="DD19" s="382">
        <v>670.05</v>
      </c>
      <c r="DE19" s="382">
        <v>667.01</v>
      </c>
      <c r="DF19" s="382">
        <v>670.41</v>
      </c>
      <c r="DG19" s="382">
        <v>670.32</v>
      </c>
      <c r="DH19" s="382">
        <v>675.97</v>
      </c>
      <c r="DI19" s="382">
        <v>674.08</v>
      </c>
      <c r="DJ19" s="382">
        <v>676.71</v>
      </c>
      <c r="DK19" s="382">
        <v>675.36</v>
      </c>
      <c r="DL19" s="382">
        <v>675.7</v>
      </c>
      <c r="DM19" s="382">
        <v>677.45</v>
      </c>
      <c r="DN19" s="382">
        <v>679.6</v>
      </c>
      <c r="DO19" s="382">
        <v>684.35</v>
      </c>
      <c r="DP19" s="382">
        <v>684.2</v>
      </c>
      <c r="DQ19" s="382">
        <v>687.87</v>
      </c>
      <c r="DR19" s="382">
        <v>686.56</v>
      </c>
      <c r="DS19" s="382">
        <v>686.46</v>
      </c>
      <c r="DT19" s="382">
        <v>687.02</v>
      </c>
      <c r="DU19" s="382">
        <v>686.22</v>
      </c>
      <c r="DV19" s="382">
        <v>691.02</v>
      </c>
      <c r="DW19" s="382">
        <v>692.5</v>
      </c>
      <c r="DX19" s="382">
        <v>694.79</v>
      </c>
      <c r="DY19" s="382">
        <v>695.61</v>
      </c>
      <c r="DZ19" s="382">
        <v>697.48</v>
      </c>
      <c r="EA19" s="382">
        <v>698.65</v>
      </c>
      <c r="EB19" s="382">
        <v>699.54</v>
      </c>
      <c r="EC19" s="382">
        <v>701.24</v>
      </c>
      <c r="ED19" s="382">
        <v>703.4</v>
      </c>
      <c r="EE19" s="382">
        <v>703.73</v>
      </c>
      <c r="EF19" s="382">
        <v>702.9</v>
      </c>
      <c r="EG19" s="382">
        <v>704.07</v>
      </c>
      <c r="EH19" s="382">
        <v>705.23</v>
      </c>
    </row>
    <row r="20" spans="1:138" ht="13.5" thickBot="1" x14ac:dyDescent="0.25">
      <c r="B20" s="44">
        <v>2001</v>
      </c>
      <c r="C20" s="44">
        <v>2002</v>
      </c>
      <c r="D20" s="44">
        <v>2003</v>
      </c>
      <c r="E20" s="44">
        <v>2004</v>
      </c>
      <c r="F20" s="44">
        <v>2005</v>
      </c>
      <c r="G20" s="44">
        <v>2006</v>
      </c>
      <c r="H20" s="44">
        <v>2007</v>
      </c>
      <c r="I20" s="44">
        <v>2008</v>
      </c>
      <c r="J20" s="44">
        <v>2009</v>
      </c>
      <c r="K20" s="44">
        <v>2010</v>
      </c>
      <c r="L20" s="44">
        <v>2011</v>
      </c>
      <c r="M20" s="44">
        <v>2012</v>
      </c>
      <c r="N20" s="44">
        <v>2013</v>
      </c>
      <c r="O20" s="44">
        <v>2014</v>
      </c>
      <c r="Q20" s="32"/>
    </row>
    <row r="21" spans="1:138" ht="13.5" thickBot="1" x14ac:dyDescent="0.25">
      <c r="A21" s="18" t="s">
        <v>49</v>
      </c>
      <c r="B21" s="380">
        <v>1306.79</v>
      </c>
      <c r="C21" s="380">
        <v>1385.59</v>
      </c>
      <c r="D21" s="380">
        <v>1441.31</v>
      </c>
      <c r="E21" s="380">
        <v>1420.13</v>
      </c>
      <c r="F21" s="380">
        <v>1449.84</v>
      </c>
      <c r="G21" s="380">
        <v>1488.34</v>
      </c>
      <c r="H21" s="380">
        <v>1577.41</v>
      </c>
      <c r="I21" s="380">
        <v>1544.3</v>
      </c>
      <c r="J21" s="379" t="s">
        <v>330</v>
      </c>
      <c r="K21" s="379" t="s">
        <v>331</v>
      </c>
      <c r="L21" s="379" t="s">
        <v>332</v>
      </c>
      <c r="M21" s="379" t="s">
        <v>333</v>
      </c>
      <c r="N21" s="379" t="s">
        <v>334</v>
      </c>
      <c r="O21" s="379" t="s">
        <v>335</v>
      </c>
      <c r="Q21" s="32"/>
    </row>
    <row r="22" spans="1:138" ht="13.5" thickBot="1" x14ac:dyDescent="0.25">
      <c r="B22" s="380">
        <v>1306.79</v>
      </c>
      <c r="C22" s="380">
        <v>1385.59</v>
      </c>
      <c r="D22" s="380">
        <v>1441.31</v>
      </c>
      <c r="E22" s="380">
        <v>1420.13</v>
      </c>
      <c r="F22" s="380">
        <v>1449.84</v>
      </c>
      <c r="G22" s="380">
        <v>1488.34</v>
      </c>
      <c r="H22" s="380">
        <v>1577.41</v>
      </c>
      <c r="I22" s="380">
        <v>1544.3</v>
      </c>
      <c r="J22" s="380">
        <v>1672.72</v>
      </c>
      <c r="K22" s="380">
        <v>1680.01</v>
      </c>
      <c r="L22" s="380">
        <v>1714.92</v>
      </c>
      <c r="M22" s="380">
        <v>1707.11</v>
      </c>
      <c r="N22" s="379">
        <v>1758.79</v>
      </c>
      <c r="O22" s="379">
        <v>1915.37</v>
      </c>
      <c r="Q22" s="32"/>
      <c r="S22" s="43" t="s">
        <v>51</v>
      </c>
    </row>
    <row r="23" spans="1:138" ht="13.5" thickBot="1" x14ac:dyDescent="0.25">
      <c r="C23" s="112">
        <f t="shared" ref="C23:L23" si="3">LN(C22/B22)</f>
        <v>5.8552293274801361E-2</v>
      </c>
      <c r="D23" s="112">
        <f t="shared" si="3"/>
        <v>3.9426380553738927E-2</v>
      </c>
      <c r="E23" s="112">
        <f t="shared" si="3"/>
        <v>-1.4804005545096815E-2</v>
      </c>
      <c r="F23" s="112">
        <f t="shared" si="3"/>
        <v>2.0704788797895404E-2</v>
      </c>
      <c r="G23" s="112">
        <f t="shared" si="3"/>
        <v>2.6208199417176954E-2</v>
      </c>
      <c r="H23" s="112">
        <f t="shared" si="3"/>
        <v>5.8122856574111946E-2</v>
      </c>
      <c r="I23" s="112">
        <f t="shared" si="3"/>
        <v>-2.1213528260928972E-2</v>
      </c>
      <c r="J23" s="112">
        <f t="shared" si="3"/>
        <v>7.9880310734212395E-2</v>
      </c>
      <c r="K23" s="112">
        <f t="shared" si="3"/>
        <v>4.3487017973739923E-3</v>
      </c>
      <c r="L23" s="112">
        <f t="shared" si="3"/>
        <v>2.0566686521162014E-2</v>
      </c>
      <c r="M23" s="112">
        <f>LN(M22/L22)</f>
        <v>-4.5645500245083065E-3</v>
      </c>
      <c r="N23" s="112">
        <f>LN(N22/M22)</f>
        <v>2.9824190338504156E-2</v>
      </c>
      <c r="O23" s="112">
        <f>LN(O22/N22)</f>
        <v>8.5284742844361675E-2</v>
      </c>
      <c r="P23" s="112">
        <f>AVERAGE(L23:O23)</f>
        <v>3.277776741987988E-2</v>
      </c>
      <c r="Q23" s="32"/>
      <c r="S23" s="45">
        <v>1991</v>
      </c>
      <c r="T23" s="45">
        <v>1991</v>
      </c>
      <c r="U23" s="45">
        <v>1991</v>
      </c>
      <c r="V23" s="45">
        <v>1991</v>
      </c>
      <c r="W23" s="45">
        <v>1991</v>
      </c>
      <c r="X23" s="45">
        <v>1991</v>
      </c>
      <c r="Y23" s="45">
        <v>1991</v>
      </c>
      <c r="Z23" s="45">
        <v>1991</v>
      </c>
      <c r="AA23" s="45">
        <v>1991</v>
      </c>
      <c r="AB23" s="45">
        <v>1991</v>
      </c>
      <c r="AC23" s="45">
        <v>1991</v>
      </c>
      <c r="AD23" s="45">
        <v>1991</v>
      </c>
      <c r="AE23" s="45">
        <v>1992</v>
      </c>
      <c r="AF23" s="45">
        <v>1992</v>
      </c>
      <c r="AG23" s="45">
        <v>1992</v>
      </c>
      <c r="AH23" s="45">
        <v>1992</v>
      </c>
      <c r="AI23" s="45">
        <v>1992</v>
      </c>
      <c r="AJ23" s="45">
        <v>1992</v>
      </c>
      <c r="AK23" s="45">
        <v>1992</v>
      </c>
      <c r="AL23" s="45">
        <v>1992</v>
      </c>
      <c r="AM23" s="45">
        <v>1992</v>
      </c>
      <c r="AN23" s="45">
        <v>1992</v>
      </c>
      <c r="AO23" s="45">
        <v>1992</v>
      </c>
      <c r="AP23" s="45">
        <v>1992</v>
      </c>
      <c r="AQ23" s="45">
        <v>1993</v>
      </c>
      <c r="AR23" s="45">
        <v>1993</v>
      </c>
      <c r="AS23" s="45">
        <v>1993</v>
      </c>
      <c r="AT23" s="45">
        <v>1993</v>
      </c>
      <c r="AU23" s="45">
        <v>1993</v>
      </c>
      <c r="AV23" s="45">
        <v>1993</v>
      </c>
      <c r="AW23" s="45">
        <v>1993</v>
      </c>
      <c r="AX23" s="45">
        <v>1993</v>
      </c>
      <c r="AY23" s="45">
        <v>1993</v>
      </c>
      <c r="AZ23" s="45">
        <v>1993</v>
      </c>
      <c r="BA23" s="45">
        <v>1993</v>
      </c>
      <c r="BB23" s="45">
        <v>1993</v>
      </c>
      <c r="BC23" s="45">
        <v>1994</v>
      </c>
      <c r="BD23" s="45">
        <v>1994</v>
      </c>
      <c r="BE23" s="45">
        <v>1994</v>
      </c>
      <c r="BF23" s="45">
        <v>1994</v>
      </c>
      <c r="BG23" s="45">
        <v>1994</v>
      </c>
      <c r="BH23" s="45">
        <v>1994</v>
      </c>
      <c r="BI23" s="45">
        <v>1994</v>
      </c>
      <c r="BJ23" s="45">
        <v>1994</v>
      </c>
      <c r="BK23" s="45">
        <v>1994</v>
      </c>
      <c r="BL23" s="45">
        <v>1994</v>
      </c>
      <c r="BM23" s="45">
        <v>1994</v>
      </c>
      <c r="BN23" s="45">
        <v>1994</v>
      </c>
      <c r="BO23" s="45">
        <v>1995</v>
      </c>
      <c r="BP23" s="45">
        <v>1995</v>
      </c>
      <c r="BQ23" s="45">
        <v>1995</v>
      </c>
      <c r="BR23" s="45">
        <v>1995</v>
      </c>
      <c r="BS23" s="45">
        <v>1995</v>
      </c>
      <c r="BT23" s="45">
        <v>1995</v>
      </c>
      <c r="BU23" s="45">
        <v>1995</v>
      </c>
      <c r="BV23" s="45">
        <v>1995</v>
      </c>
      <c r="BW23" s="45">
        <v>1995</v>
      </c>
      <c r="BX23" s="45">
        <v>1995</v>
      </c>
      <c r="BY23" s="45">
        <v>1995</v>
      </c>
      <c r="BZ23" s="45">
        <v>1995</v>
      </c>
      <c r="CA23" s="45">
        <v>1996</v>
      </c>
      <c r="CB23" s="45">
        <v>1996</v>
      </c>
      <c r="CC23" s="45">
        <v>1996</v>
      </c>
      <c r="CD23" s="45">
        <v>1996</v>
      </c>
      <c r="CE23" s="45">
        <v>1996</v>
      </c>
      <c r="CF23" s="45">
        <v>1996</v>
      </c>
      <c r="CG23" s="45">
        <v>1996</v>
      </c>
      <c r="CH23" s="45">
        <v>1996</v>
      </c>
      <c r="CI23" s="45">
        <v>1996</v>
      </c>
      <c r="CJ23" s="45">
        <v>1996</v>
      </c>
      <c r="CK23" s="45">
        <v>1996</v>
      </c>
      <c r="CL23" s="45">
        <v>1996</v>
      </c>
      <c r="CM23" s="45">
        <v>1997</v>
      </c>
      <c r="CN23" s="45">
        <v>1997</v>
      </c>
      <c r="CO23" s="45">
        <v>1997</v>
      </c>
      <c r="CP23" s="45">
        <v>1997</v>
      </c>
      <c r="CQ23" s="45">
        <v>1997</v>
      </c>
      <c r="CR23" s="45">
        <v>1997</v>
      </c>
      <c r="CS23" s="45">
        <v>1997</v>
      </c>
      <c r="CT23" s="45">
        <v>1997</v>
      </c>
      <c r="CU23" s="45">
        <v>1997</v>
      </c>
      <c r="CV23" s="45">
        <v>1997</v>
      </c>
      <c r="CW23" s="45">
        <v>1997</v>
      </c>
      <c r="CX23" s="45">
        <v>1997</v>
      </c>
      <c r="CY23" s="45">
        <v>1998</v>
      </c>
      <c r="CZ23" s="45">
        <v>1998</v>
      </c>
      <c r="DA23" s="45">
        <v>1998</v>
      </c>
      <c r="DB23" s="45">
        <v>1998</v>
      </c>
      <c r="DC23" s="45">
        <v>1998</v>
      </c>
      <c r="DD23" s="45">
        <v>1998</v>
      </c>
      <c r="DE23" s="45">
        <v>1998</v>
      </c>
      <c r="DF23" s="45">
        <v>1998</v>
      </c>
      <c r="DG23" s="45">
        <v>1998</v>
      </c>
      <c r="DH23" s="45">
        <v>1998</v>
      </c>
      <c r="DI23" s="45">
        <v>1998</v>
      </c>
      <c r="DJ23" s="45">
        <v>1998</v>
      </c>
      <c r="DK23" s="45">
        <v>1999</v>
      </c>
      <c r="DL23" s="45">
        <v>1999</v>
      </c>
      <c r="DM23" s="45">
        <v>1999</v>
      </c>
      <c r="DN23" s="45">
        <v>1999</v>
      </c>
      <c r="DO23" s="45">
        <v>1999</v>
      </c>
      <c r="DP23" s="45">
        <v>1999</v>
      </c>
      <c r="DQ23" s="45">
        <v>1999</v>
      </c>
      <c r="DR23" s="45">
        <v>1999</v>
      </c>
      <c r="DS23" s="45">
        <v>1999</v>
      </c>
      <c r="DT23" s="45">
        <v>1999</v>
      </c>
      <c r="DU23" s="45">
        <v>1999</v>
      </c>
      <c r="DV23" s="45">
        <v>1999</v>
      </c>
      <c r="DW23" s="45">
        <v>2000</v>
      </c>
      <c r="DX23" s="45">
        <v>2000</v>
      </c>
      <c r="DY23" s="45">
        <v>2000</v>
      </c>
      <c r="DZ23" s="45">
        <v>2000</v>
      </c>
      <c r="EA23" s="45">
        <v>2000</v>
      </c>
      <c r="EB23" s="45">
        <v>2000</v>
      </c>
      <c r="EC23" s="45">
        <v>2000</v>
      </c>
      <c r="ED23" s="45">
        <v>2000</v>
      </c>
      <c r="EE23" s="45">
        <v>2000</v>
      </c>
      <c r="EF23" s="45">
        <v>2000</v>
      </c>
      <c r="EG23" s="45">
        <v>2000</v>
      </c>
      <c r="EH23" s="45">
        <v>2000</v>
      </c>
    </row>
    <row r="24" spans="1:138" ht="13.5" thickBot="1" x14ac:dyDescent="0.25">
      <c r="Q24" s="32"/>
      <c r="S24" s="46">
        <v>1</v>
      </c>
      <c r="T24" s="46">
        <v>2</v>
      </c>
      <c r="U24" s="46">
        <v>3</v>
      </c>
      <c r="V24" s="46">
        <v>4</v>
      </c>
      <c r="W24" s="46">
        <v>5</v>
      </c>
      <c r="X24" s="46">
        <v>6</v>
      </c>
      <c r="Y24" s="46">
        <v>7</v>
      </c>
      <c r="Z24" s="46">
        <v>8</v>
      </c>
      <c r="AA24" s="46">
        <v>9</v>
      </c>
      <c r="AB24" s="46">
        <v>10</v>
      </c>
      <c r="AC24" s="46">
        <v>11</v>
      </c>
      <c r="AD24" s="46">
        <v>12</v>
      </c>
      <c r="AE24" s="46">
        <v>1</v>
      </c>
      <c r="AF24" s="46">
        <v>2</v>
      </c>
      <c r="AG24" s="46">
        <v>3</v>
      </c>
      <c r="AH24" s="46">
        <v>4</v>
      </c>
      <c r="AI24" s="46">
        <v>5</v>
      </c>
      <c r="AJ24" s="46">
        <v>6</v>
      </c>
      <c r="AK24" s="46">
        <v>7</v>
      </c>
      <c r="AL24" s="46">
        <v>8</v>
      </c>
      <c r="AM24" s="46">
        <v>9</v>
      </c>
      <c r="AN24" s="46">
        <v>10</v>
      </c>
      <c r="AO24" s="46">
        <v>11</v>
      </c>
      <c r="AP24" s="46">
        <v>12</v>
      </c>
      <c r="AQ24" s="46">
        <v>1</v>
      </c>
      <c r="AR24" s="46">
        <v>2</v>
      </c>
      <c r="AS24" s="46">
        <v>3</v>
      </c>
      <c r="AT24" s="46">
        <v>4</v>
      </c>
      <c r="AU24" s="46">
        <v>5</v>
      </c>
      <c r="AV24" s="46">
        <v>6</v>
      </c>
      <c r="AW24" s="46">
        <v>7</v>
      </c>
      <c r="AX24" s="46">
        <v>8</v>
      </c>
      <c r="AY24" s="46">
        <v>9</v>
      </c>
      <c r="AZ24" s="46">
        <v>10</v>
      </c>
      <c r="BA24" s="46">
        <v>11</v>
      </c>
      <c r="BB24" s="46">
        <v>12</v>
      </c>
      <c r="BC24" s="46">
        <v>1</v>
      </c>
      <c r="BD24" s="46">
        <v>2</v>
      </c>
      <c r="BE24" s="46">
        <v>3</v>
      </c>
      <c r="BF24" s="46">
        <v>4</v>
      </c>
      <c r="BG24" s="46">
        <v>5</v>
      </c>
      <c r="BH24" s="46">
        <v>6</v>
      </c>
      <c r="BI24" s="46">
        <v>7</v>
      </c>
      <c r="BJ24" s="46">
        <v>8</v>
      </c>
      <c r="BK24" s="46">
        <v>9</v>
      </c>
      <c r="BL24" s="46">
        <v>10</v>
      </c>
      <c r="BM24" s="46">
        <v>11</v>
      </c>
      <c r="BN24" s="46">
        <v>12</v>
      </c>
      <c r="BO24" s="46">
        <v>1</v>
      </c>
      <c r="BP24" s="46">
        <v>2</v>
      </c>
      <c r="BQ24" s="46">
        <v>3</v>
      </c>
      <c r="BR24" s="46">
        <v>4</v>
      </c>
      <c r="BS24" s="46">
        <v>5</v>
      </c>
      <c r="BT24" s="46">
        <v>6</v>
      </c>
      <c r="BU24" s="46">
        <v>7</v>
      </c>
      <c r="BV24" s="46">
        <v>8</v>
      </c>
      <c r="BW24" s="46">
        <v>9</v>
      </c>
      <c r="BX24" s="46">
        <v>10</v>
      </c>
      <c r="BY24" s="46">
        <v>11</v>
      </c>
      <c r="BZ24" s="46">
        <v>12</v>
      </c>
      <c r="CA24" s="46">
        <v>1</v>
      </c>
      <c r="CB24" s="46">
        <v>2</v>
      </c>
      <c r="CC24" s="46">
        <v>3</v>
      </c>
      <c r="CD24" s="46">
        <v>4</v>
      </c>
      <c r="CE24" s="46">
        <v>5</v>
      </c>
      <c r="CF24" s="46">
        <v>6</v>
      </c>
      <c r="CG24" s="46">
        <v>7</v>
      </c>
      <c r="CH24" s="46">
        <v>8</v>
      </c>
      <c r="CI24" s="46">
        <v>9</v>
      </c>
      <c r="CJ24" s="46">
        <v>10</v>
      </c>
      <c r="CK24" s="46">
        <v>11</v>
      </c>
      <c r="CL24" s="46">
        <v>12</v>
      </c>
      <c r="CM24" s="46">
        <v>1</v>
      </c>
      <c r="CN24" s="46">
        <v>2</v>
      </c>
      <c r="CO24" s="46">
        <v>3</v>
      </c>
      <c r="CP24" s="46">
        <v>4</v>
      </c>
      <c r="CQ24" s="46">
        <v>5</v>
      </c>
      <c r="CR24" s="46">
        <v>6</v>
      </c>
      <c r="CS24" s="46">
        <v>7</v>
      </c>
      <c r="CT24" s="46">
        <v>8</v>
      </c>
      <c r="CU24" s="46">
        <v>9</v>
      </c>
      <c r="CV24" s="46">
        <v>10</v>
      </c>
      <c r="CW24" s="46">
        <v>11</v>
      </c>
      <c r="CX24" s="46">
        <v>12</v>
      </c>
      <c r="CY24" s="46">
        <v>1</v>
      </c>
      <c r="CZ24" s="46">
        <v>2</v>
      </c>
      <c r="DA24" s="46">
        <v>3</v>
      </c>
      <c r="DB24" s="46">
        <v>4</v>
      </c>
      <c r="DC24" s="46">
        <v>5</v>
      </c>
      <c r="DD24" s="46">
        <v>6</v>
      </c>
      <c r="DE24" s="46">
        <v>7</v>
      </c>
      <c r="DF24" s="46">
        <v>8</v>
      </c>
      <c r="DG24" s="46">
        <v>9</v>
      </c>
      <c r="DH24" s="46">
        <v>10</v>
      </c>
      <c r="DI24" s="46">
        <v>11</v>
      </c>
      <c r="DJ24" s="46">
        <v>12</v>
      </c>
      <c r="DK24" s="46">
        <v>1</v>
      </c>
      <c r="DL24" s="46">
        <v>2</v>
      </c>
      <c r="DM24" s="46">
        <v>3</v>
      </c>
      <c r="DN24" s="46">
        <v>4</v>
      </c>
      <c r="DO24" s="46">
        <v>5</v>
      </c>
      <c r="DP24" s="46">
        <v>6</v>
      </c>
      <c r="DQ24" s="46">
        <v>7</v>
      </c>
      <c r="DR24" s="46">
        <v>8</v>
      </c>
      <c r="DS24" s="46">
        <v>9</v>
      </c>
      <c r="DT24" s="46">
        <v>10</v>
      </c>
      <c r="DU24" s="46">
        <v>11</v>
      </c>
      <c r="DV24" s="46">
        <v>12</v>
      </c>
      <c r="DW24" s="46">
        <v>1</v>
      </c>
      <c r="DX24" s="46">
        <v>2</v>
      </c>
      <c r="DY24" s="46">
        <v>3</v>
      </c>
      <c r="DZ24" s="46">
        <v>4</v>
      </c>
      <c r="EA24" s="46">
        <v>5</v>
      </c>
      <c r="EB24" s="46">
        <v>6</v>
      </c>
      <c r="EC24" s="46">
        <v>7</v>
      </c>
      <c r="ED24" s="46">
        <v>8</v>
      </c>
      <c r="EE24" s="46">
        <v>9</v>
      </c>
      <c r="EF24" s="46">
        <v>10</v>
      </c>
      <c r="EG24" s="46">
        <v>11</v>
      </c>
      <c r="EH24" s="46">
        <v>12</v>
      </c>
    </row>
    <row r="25" spans="1:138" ht="13.5" thickBot="1" x14ac:dyDescent="0.25">
      <c r="B25" s="49" t="s">
        <v>52</v>
      </c>
      <c r="C25" s="50" t="s">
        <v>53</v>
      </c>
      <c r="D25" s="50" t="s">
        <v>54</v>
      </c>
      <c r="Q25" s="32"/>
      <c r="R25" s="47" t="s">
        <v>49</v>
      </c>
      <c r="S25" s="381" t="s">
        <v>456</v>
      </c>
      <c r="T25" s="381" t="s">
        <v>457</v>
      </c>
      <c r="U25" s="381" t="s">
        <v>458</v>
      </c>
      <c r="V25" s="381" t="s">
        <v>459</v>
      </c>
      <c r="W25" s="381" t="s">
        <v>460</v>
      </c>
      <c r="X25" s="381" t="s">
        <v>461</v>
      </c>
      <c r="Y25" s="381" t="s">
        <v>462</v>
      </c>
      <c r="Z25" s="381" t="s">
        <v>463</v>
      </c>
      <c r="AA25" s="381" t="s">
        <v>464</v>
      </c>
      <c r="AB25" s="381" t="s">
        <v>465</v>
      </c>
      <c r="AC25" s="381" t="s">
        <v>466</v>
      </c>
      <c r="AD25" s="381" t="s">
        <v>467</v>
      </c>
      <c r="AE25" s="381" t="s">
        <v>468</v>
      </c>
      <c r="AF25" s="381" t="s">
        <v>469</v>
      </c>
      <c r="AG25" s="381" t="s">
        <v>470</v>
      </c>
      <c r="AH25" s="381" t="s">
        <v>471</v>
      </c>
      <c r="AI25" s="381" t="s">
        <v>472</v>
      </c>
      <c r="AJ25" s="381" t="s">
        <v>473</v>
      </c>
      <c r="AK25" s="381" t="s">
        <v>474</v>
      </c>
      <c r="AL25" s="381" t="s">
        <v>475</v>
      </c>
      <c r="AM25" s="381" t="s">
        <v>476</v>
      </c>
      <c r="AN25" s="381" t="s">
        <v>477</v>
      </c>
      <c r="AO25" s="381" t="s">
        <v>478</v>
      </c>
      <c r="AP25" s="381" t="s">
        <v>479</v>
      </c>
      <c r="AQ25" s="381" t="s">
        <v>480</v>
      </c>
      <c r="AR25" s="381" t="s">
        <v>481</v>
      </c>
      <c r="AS25" s="381" t="s">
        <v>482</v>
      </c>
      <c r="AT25" s="381" t="s">
        <v>483</v>
      </c>
      <c r="AU25" s="381" t="s">
        <v>484</v>
      </c>
      <c r="AV25" s="381" t="s">
        <v>485</v>
      </c>
      <c r="AW25" s="381" t="s">
        <v>486</v>
      </c>
      <c r="AX25" s="381" t="s">
        <v>487</v>
      </c>
      <c r="AY25" s="381" t="s">
        <v>488</v>
      </c>
      <c r="AZ25" s="381" t="s">
        <v>489</v>
      </c>
      <c r="BA25" s="381" t="s">
        <v>490</v>
      </c>
      <c r="BB25" s="381" t="s">
        <v>491</v>
      </c>
      <c r="BC25" s="381" t="s">
        <v>492</v>
      </c>
      <c r="BD25" s="381" t="s">
        <v>493</v>
      </c>
      <c r="BE25" s="381" t="s">
        <v>494</v>
      </c>
      <c r="BF25" s="381" t="s">
        <v>495</v>
      </c>
      <c r="BG25" s="381" t="s">
        <v>496</v>
      </c>
      <c r="BH25" s="381" t="s">
        <v>497</v>
      </c>
      <c r="BI25" s="381" t="s">
        <v>498</v>
      </c>
      <c r="BJ25" s="381" t="s">
        <v>499</v>
      </c>
      <c r="BK25" s="381" t="s">
        <v>500</v>
      </c>
      <c r="BL25" s="381" t="s">
        <v>501</v>
      </c>
      <c r="BM25" s="381" t="s">
        <v>502</v>
      </c>
      <c r="BN25" s="381" t="s">
        <v>503</v>
      </c>
      <c r="BO25" s="381" t="s">
        <v>504</v>
      </c>
      <c r="BP25" s="381" t="s">
        <v>505</v>
      </c>
      <c r="BQ25" s="381" t="s">
        <v>506</v>
      </c>
      <c r="BR25" s="381" t="s">
        <v>507</v>
      </c>
      <c r="BS25" s="381" t="s">
        <v>508</v>
      </c>
      <c r="BT25" s="381" t="s">
        <v>509</v>
      </c>
      <c r="BU25" s="381" t="s">
        <v>510</v>
      </c>
      <c r="BV25" s="381" t="s">
        <v>511</v>
      </c>
      <c r="BW25" s="381" t="s">
        <v>512</v>
      </c>
      <c r="BX25" s="381" t="s">
        <v>513</v>
      </c>
      <c r="BY25" s="381" t="s">
        <v>514</v>
      </c>
      <c r="BZ25" s="381" t="s">
        <v>515</v>
      </c>
      <c r="CA25" s="381" t="s">
        <v>516</v>
      </c>
      <c r="CB25" s="381" t="s">
        <v>517</v>
      </c>
      <c r="CC25" s="381" t="s">
        <v>518</v>
      </c>
      <c r="CD25" s="381" t="s">
        <v>519</v>
      </c>
      <c r="CE25" s="381" t="s">
        <v>520</v>
      </c>
      <c r="CF25" s="381" t="s">
        <v>521</v>
      </c>
      <c r="CG25" s="381" t="s">
        <v>522</v>
      </c>
      <c r="CH25" s="381" t="s">
        <v>523</v>
      </c>
      <c r="CI25" s="381" t="s">
        <v>524</v>
      </c>
      <c r="CJ25" s="381" t="s">
        <v>525</v>
      </c>
      <c r="CK25" s="381" t="s">
        <v>526</v>
      </c>
      <c r="CL25" s="381" t="s">
        <v>527</v>
      </c>
      <c r="CM25" s="381" t="s">
        <v>528</v>
      </c>
      <c r="CN25" s="381" t="s">
        <v>529</v>
      </c>
      <c r="CO25" s="381" t="s">
        <v>530</v>
      </c>
      <c r="CP25" s="381" t="s">
        <v>531</v>
      </c>
      <c r="CQ25" s="381" t="s">
        <v>532</v>
      </c>
      <c r="CR25" s="381" t="s">
        <v>533</v>
      </c>
      <c r="CS25" s="381" t="s">
        <v>534</v>
      </c>
      <c r="CT25" s="381" t="s">
        <v>535</v>
      </c>
      <c r="CU25" s="381" t="s">
        <v>536</v>
      </c>
      <c r="CV25" s="381" t="s">
        <v>537</v>
      </c>
      <c r="CW25" s="381" t="s">
        <v>538</v>
      </c>
      <c r="CX25" s="381" t="s">
        <v>539</v>
      </c>
      <c r="CY25" s="381" t="s">
        <v>540</v>
      </c>
      <c r="CZ25" s="381" t="s">
        <v>541</v>
      </c>
      <c r="DA25" s="381" t="s">
        <v>542</v>
      </c>
      <c r="DB25" s="381" t="s">
        <v>543</v>
      </c>
      <c r="DC25" s="381" t="s">
        <v>544</v>
      </c>
      <c r="DD25" s="381" t="s">
        <v>545</v>
      </c>
      <c r="DE25" s="381" t="s">
        <v>546</v>
      </c>
      <c r="DF25" s="381" t="s">
        <v>547</v>
      </c>
      <c r="DG25" s="381" t="s">
        <v>548</v>
      </c>
      <c r="DH25" s="381" t="s">
        <v>549</v>
      </c>
      <c r="DI25" s="381" t="s">
        <v>550</v>
      </c>
      <c r="DJ25" s="381" t="s">
        <v>551</v>
      </c>
      <c r="DK25" s="381" t="s">
        <v>552</v>
      </c>
      <c r="DL25" s="381" t="s">
        <v>553</v>
      </c>
      <c r="DM25" s="381" t="s">
        <v>554</v>
      </c>
      <c r="DN25" s="381" t="s">
        <v>555</v>
      </c>
      <c r="DO25" s="381" t="s">
        <v>556</v>
      </c>
      <c r="DP25" s="381" t="s">
        <v>557</v>
      </c>
      <c r="DQ25" s="381" t="s">
        <v>558</v>
      </c>
      <c r="DR25" s="381" t="s">
        <v>559</v>
      </c>
      <c r="DS25" s="381" t="s">
        <v>560</v>
      </c>
      <c r="DT25" s="381" t="s">
        <v>561</v>
      </c>
      <c r="DU25" s="381" t="s">
        <v>562</v>
      </c>
      <c r="DV25" s="381" t="s">
        <v>563</v>
      </c>
      <c r="DW25" s="381" t="s">
        <v>564</v>
      </c>
      <c r="DX25" s="381" t="s">
        <v>565</v>
      </c>
      <c r="DY25" s="381" t="s">
        <v>566</v>
      </c>
      <c r="DZ25" s="381" t="s">
        <v>567</v>
      </c>
      <c r="EA25" s="381" t="s">
        <v>568</v>
      </c>
      <c r="EB25" s="381" t="s">
        <v>569</v>
      </c>
      <c r="EC25" s="381" t="s">
        <v>570</v>
      </c>
      <c r="ED25" s="381" t="s">
        <v>571</v>
      </c>
      <c r="EE25" s="381" t="s">
        <v>572</v>
      </c>
      <c r="EF25" s="381" t="s">
        <v>573</v>
      </c>
      <c r="EG25" s="381" t="s">
        <v>574</v>
      </c>
      <c r="EH25" s="381" t="s">
        <v>575</v>
      </c>
    </row>
    <row r="26" spans="1:138" ht="13.5" thickBot="1" x14ac:dyDescent="0.25">
      <c r="B26" s="46">
        <v>2001</v>
      </c>
      <c r="C26" s="417">
        <f>AVERAGEIF($B$20:$O$20,$B26,$B$17:$O$17)</f>
        <v>695.66</v>
      </c>
      <c r="D26" s="417">
        <f>AVERAGEIF($B$20:$O$20,$B26,$B$22:$O$22)</f>
        <v>1306.79</v>
      </c>
      <c r="Q26" s="32"/>
      <c r="S26" s="418" t="str">
        <f>LEFT(S25,LEN(S25)-3)</f>
        <v>783.05</v>
      </c>
      <c r="T26" s="418" t="str">
        <f t="shared" ref="T26:CE26" si="4">LEFT(T25,LEN(T25)-3)</f>
        <v>822.86</v>
      </c>
      <c r="U26" s="418" t="str">
        <f t="shared" si="4"/>
        <v>864.12</v>
      </c>
      <c r="V26" s="418" t="str">
        <f t="shared" si="4"/>
        <v>860.22</v>
      </c>
      <c r="W26" s="418" t="str">
        <f t="shared" si="4"/>
        <v>837.73</v>
      </c>
      <c r="X26" s="418" t="str">
        <f t="shared" si="4"/>
        <v>842.40</v>
      </c>
      <c r="Y26" s="418" t="str">
        <f t="shared" si="4"/>
        <v>834.83</v>
      </c>
      <c r="Z26" s="418" t="str">
        <f t="shared" si="4"/>
        <v>856.41</v>
      </c>
      <c r="AA26" s="418" t="str">
        <f t="shared" si="4"/>
        <v>856.11</v>
      </c>
      <c r="AB26" s="418" t="str">
        <f t="shared" si="4"/>
        <v>876.23</v>
      </c>
      <c r="AC26" s="418" t="str">
        <f t="shared" si="4"/>
        <v>914.08</v>
      </c>
      <c r="AD26" s="418" t="str">
        <f t="shared" si="4"/>
        <v>901.16</v>
      </c>
      <c r="AE26" s="418" t="str">
        <f t="shared" si="4"/>
        <v>884.58</v>
      </c>
      <c r="AF26" s="418" t="str">
        <f t="shared" si="4"/>
        <v>884.66</v>
      </c>
      <c r="AG26" s="418" t="str">
        <f t="shared" si="4"/>
        <v>887.55</v>
      </c>
      <c r="AH26" s="418" t="str">
        <f t="shared" si="4"/>
        <v>904.94</v>
      </c>
      <c r="AI26" s="418" t="str">
        <f t="shared" si="4"/>
        <v>895.68</v>
      </c>
      <c r="AJ26" s="418" t="str">
        <f t="shared" si="4"/>
        <v>880.16</v>
      </c>
      <c r="AK26" s="418" t="str">
        <f t="shared" si="4"/>
        <v>878.41</v>
      </c>
      <c r="AL26" s="418" t="str">
        <f t="shared" si="4"/>
        <v>878.32</v>
      </c>
      <c r="AM26" s="418" t="str">
        <f t="shared" si="4"/>
        <v>905.61</v>
      </c>
      <c r="AN26" s="418" t="str">
        <f t="shared" si="4"/>
        <v>904.58</v>
      </c>
      <c r="AO26" s="418" t="str">
        <f t="shared" si="4"/>
        <v>910.54</v>
      </c>
      <c r="AP26" s="418" t="str">
        <f t="shared" si="4"/>
        <v>895.45</v>
      </c>
      <c r="AQ26" s="418" t="str">
        <f t="shared" si="4"/>
        <v>897.15</v>
      </c>
      <c r="AR26" s="418" t="str">
        <f t="shared" si="4"/>
        <v>884.48</v>
      </c>
      <c r="AS26" s="418" t="str">
        <f t="shared" si="4"/>
        <v>884.07</v>
      </c>
      <c r="AT26" s="418" t="str">
        <f t="shared" si="4"/>
        <v>907.93</v>
      </c>
      <c r="AU26" s="418" t="str">
        <f t="shared" si="4"/>
        <v>890.34</v>
      </c>
      <c r="AV26" s="418" t="str">
        <f t="shared" si="4"/>
        <v>895.79</v>
      </c>
      <c r="AW26" s="418" t="str">
        <f t="shared" si="4"/>
        <v>886.23</v>
      </c>
      <c r="AX26" s="418" t="str">
        <f t="shared" si="4"/>
        <v>890.46</v>
      </c>
      <c r="AY26" s="418" t="str">
        <f t="shared" si="4"/>
        <v>906.11</v>
      </c>
      <c r="AZ26" s="418" t="str">
        <f t="shared" si="4"/>
        <v>913.13</v>
      </c>
      <c r="BA26" s="418" t="str">
        <f t="shared" si="4"/>
        <v>912.85</v>
      </c>
      <c r="BB26" s="418" t="str">
        <f t="shared" si="4"/>
        <v>887.11</v>
      </c>
      <c r="BC26" s="418" t="str">
        <f t="shared" si="4"/>
        <v>915.33</v>
      </c>
      <c r="BD26" s="418" t="str">
        <f t="shared" si="4"/>
        <v>915.32</v>
      </c>
      <c r="BE26" s="418" t="str">
        <f t="shared" si="4"/>
        <v>907.78</v>
      </c>
      <c r="BF26" s="418" t="str">
        <f t="shared" si="4"/>
        <v>924.75</v>
      </c>
      <c r="BG26" s="418" t="str">
        <f t="shared" si="4"/>
        <v>921.67</v>
      </c>
      <c r="BH26" s="418" t="str">
        <f t="shared" si="4"/>
        <v>922.05</v>
      </c>
      <c r="BI26" s="418" t="str">
        <f t="shared" si="4"/>
        <v>919.44</v>
      </c>
      <c r="BJ26" s="418" t="str">
        <f t="shared" si="4"/>
        <v>920.64</v>
      </c>
      <c r="BK26" s="418" t="str">
        <f t="shared" si="4"/>
        <v>924.74</v>
      </c>
      <c r="BL26" s="418" t="str">
        <f t="shared" si="4"/>
        <v>932.30</v>
      </c>
      <c r="BM26" s="418" t="str">
        <f t="shared" si="4"/>
        <v>945.21</v>
      </c>
      <c r="BN26" s="418" t="str">
        <f t="shared" si="4"/>
        <v>909.36</v>
      </c>
      <c r="BO26" s="418" t="str">
        <f t="shared" si="4"/>
        <v>912.21</v>
      </c>
      <c r="BP26" s="418" t="str">
        <f t="shared" si="4"/>
        <v>927.58</v>
      </c>
      <c r="BQ26" s="418" t="str">
        <f t="shared" si="4"/>
        <v>927.85</v>
      </c>
      <c r="BR26" s="418" t="str">
        <f t="shared" si="4"/>
        <v>935.23</v>
      </c>
      <c r="BS26" s="418" t="str">
        <f t="shared" si="4"/>
        <v>938.58</v>
      </c>
      <c r="BT26" s="418" t="str">
        <f t="shared" si="4"/>
        <v>942.74</v>
      </c>
      <c r="BU26" s="418" t="str">
        <f t="shared" si="4"/>
        <v>936.41</v>
      </c>
      <c r="BV26" s="418" t="str">
        <f t="shared" si="4"/>
        <v>930.31</v>
      </c>
      <c r="BW26" s="418" t="str">
        <f t="shared" si="4"/>
        <v>940.20</v>
      </c>
      <c r="BX26" s="418" t="str">
        <f t="shared" si="4"/>
        <v>955.56</v>
      </c>
      <c r="BY26" s="418" t="str">
        <f t="shared" si="4"/>
        <v>959.10</v>
      </c>
      <c r="BZ26" s="418" t="str">
        <f t="shared" si="4"/>
        <v>934.63</v>
      </c>
      <c r="CA26" s="418" t="str">
        <f t="shared" si="4"/>
        <v>919.03</v>
      </c>
      <c r="CB26" s="418" t="str">
        <f t="shared" si="4"/>
        <v>927.40</v>
      </c>
      <c r="CC26" s="418" t="str">
        <f t="shared" si="4"/>
        <v>931.97</v>
      </c>
      <c r="CD26" s="418" t="str">
        <f t="shared" si="4"/>
        <v>940.06</v>
      </c>
      <c r="CE26" s="418" t="str">
        <f t="shared" si="4"/>
        <v>931.98</v>
      </c>
      <c r="CF26" s="418" t="str">
        <f t="shared" ref="CF26:EH26" si="5">LEFT(CF25,LEN(CF25)-3)</f>
        <v>934.57</v>
      </c>
      <c r="CG26" s="418" t="str">
        <f t="shared" si="5"/>
        <v>935.04</v>
      </c>
      <c r="CH26" s="418" t="str">
        <f t="shared" si="5"/>
        <v>935.02</v>
      </c>
      <c r="CI26" s="418" t="str">
        <f t="shared" si="5"/>
        <v>950.50</v>
      </c>
      <c r="CJ26" s="418" t="str">
        <f t="shared" si="5"/>
        <v>958.25</v>
      </c>
      <c r="CK26" s="418" t="str">
        <f t="shared" si="5"/>
        <v>970.73</v>
      </c>
      <c r="CL26" s="418" t="str">
        <f t="shared" si="5"/>
        <v>942.46</v>
      </c>
      <c r="CM26" s="418" t="str">
        <f t="shared" si="5"/>
        <v>967.08</v>
      </c>
      <c r="CN26" s="418" t="str">
        <f t="shared" si="5"/>
        <v>969.07</v>
      </c>
      <c r="CO26" s="418" t="str">
        <f t="shared" si="5"/>
        <v>959.15</v>
      </c>
      <c r="CP26" s="418" t="str">
        <f t="shared" si="5"/>
        <v>993.29</v>
      </c>
      <c r="CQ26" s="418" t="str">
        <f t="shared" si="5"/>
        <v>999.42</v>
      </c>
      <c r="CR26" s="418" t="str">
        <f t="shared" si="5"/>
        <v>998.34</v>
      </c>
      <c r="CS26" s="418" t="str">
        <f t="shared" si="5"/>
        <v>969.94</v>
      </c>
      <c r="CT26" s="418" t="str">
        <f t="shared" si="5"/>
        <v>974.01</v>
      </c>
      <c r="CU26" s="418" t="str">
        <f t="shared" si="5"/>
        <v>991.88</v>
      </c>
      <c r="CV26" s="418" t="str">
        <f t="shared" si="5"/>
        <v>1,025.73</v>
      </c>
      <c r="CW26" s="418" t="str">
        <f t="shared" si="5"/>
        <v>1,016.63</v>
      </c>
      <c r="CX26" s="418" t="str">
        <f t="shared" si="5"/>
        <v>989.92</v>
      </c>
      <c r="CY26" s="418" t="str">
        <f t="shared" si="5"/>
        <v>1,064.65</v>
      </c>
      <c r="CZ26" s="418" t="str">
        <f t="shared" si="5"/>
        <v>1,011.82</v>
      </c>
      <c r="DA26" s="418" t="str">
        <f t="shared" si="5"/>
        <v>1,007.16</v>
      </c>
      <c r="DB26" s="418" t="str">
        <f t="shared" si="5"/>
        <v>1,011.04</v>
      </c>
      <c r="DC26" s="418" t="str">
        <f t="shared" si="5"/>
        <v>1,013.18</v>
      </c>
      <c r="DD26" s="418" t="str">
        <f t="shared" si="5"/>
        <v>1,031.88</v>
      </c>
      <c r="DE26" s="418" t="str">
        <f t="shared" si="5"/>
        <v>1,041.62</v>
      </c>
      <c r="DF26" s="418" t="str">
        <f t="shared" si="5"/>
        <v>1,039.00</v>
      </c>
      <c r="DG26" s="418" t="str">
        <f t="shared" si="5"/>
        <v>1,039.92</v>
      </c>
      <c r="DH26" s="418" t="str">
        <f t="shared" si="5"/>
        <v>1,044.75</v>
      </c>
      <c r="DI26" s="418" t="str">
        <f t="shared" si="5"/>
        <v>1,044.54</v>
      </c>
      <c r="DJ26" s="418" t="str">
        <f t="shared" si="5"/>
        <v>1,049.20</v>
      </c>
      <c r="DK26" s="418" t="str">
        <f t="shared" si="5"/>
        <v>1,043.23</v>
      </c>
      <c r="DL26" s="418" t="str">
        <f t="shared" si="5"/>
        <v>1,039.50</v>
      </c>
      <c r="DM26" s="418" t="str">
        <f t="shared" si="5"/>
        <v>1,042.05</v>
      </c>
      <c r="DN26" s="418" t="str">
        <f t="shared" si="5"/>
        <v>1,062.64</v>
      </c>
      <c r="DO26" s="418" t="str">
        <f t="shared" si="5"/>
        <v>1,054.36</v>
      </c>
      <c r="DP26" s="418" t="str">
        <f t="shared" si="5"/>
        <v>1,023.22</v>
      </c>
      <c r="DQ26" s="418" t="str">
        <f t="shared" si="5"/>
        <v>1,049.26</v>
      </c>
      <c r="DR26" s="418" t="str">
        <f t="shared" si="5"/>
        <v>1,053.32</v>
      </c>
      <c r="DS26" s="418" t="str">
        <f t="shared" si="5"/>
        <v>1,050.77</v>
      </c>
      <c r="DT26" s="418" t="str">
        <f t="shared" si="5"/>
        <v>1,057.80</v>
      </c>
      <c r="DU26" s="418" t="str">
        <f t="shared" si="5"/>
        <v>1,060.68</v>
      </c>
      <c r="DV26" s="418" t="str">
        <f t="shared" si="5"/>
        <v>1,064.49</v>
      </c>
      <c r="DW26" s="418" t="str">
        <f t="shared" si="5"/>
        <v>1,064.39</v>
      </c>
      <c r="DX26" s="418" t="str">
        <f t="shared" si="5"/>
        <v>1,069.17</v>
      </c>
      <c r="DY26" s="418" t="str">
        <f t="shared" si="5"/>
        <v>1,067.63</v>
      </c>
      <c r="DZ26" s="418" t="str">
        <f t="shared" si="5"/>
        <v>1,065.73</v>
      </c>
      <c r="EA26" s="418" t="str">
        <f t="shared" si="5"/>
        <v>1,064.43</v>
      </c>
      <c r="EB26" s="418" t="str">
        <f t="shared" si="5"/>
        <v>1,064.89</v>
      </c>
      <c r="EC26" s="418" t="str">
        <f t="shared" si="5"/>
        <v>1,067.55</v>
      </c>
      <c r="ED26" s="418" t="str">
        <f t="shared" si="5"/>
        <v>1,067.93</v>
      </c>
      <c r="EE26" s="418" t="str">
        <f t="shared" si="5"/>
        <v>1,069.10</v>
      </c>
      <c r="EF26" s="418" t="str">
        <f t="shared" si="5"/>
        <v>1,071.52</v>
      </c>
      <c r="EG26" s="418" t="str">
        <f t="shared" si="5"/>
        <v>1,070.48</v>
      </c>
      <c r="EH26" s="418" t="str">
        <f t="shared" si="5"/>
        <v>1,072.96</v>
      </c>
    </row>
    <row r="27" spans="1:138" ht="13.5" thickBot="1" x14ac:dyDescent="0.25">
      <c r="B27" s="46">
        <v>2002</v>
      </c>
      <c r="C27" s="417">
        <f t="shared" ref="C27:C39" si="6">AVERAGEIF($B$20:$O$20,$B27,$B$17:$O$17)</f>
        <v>710.87</v>
      </c>
      <c r="D27" s="417">
        <f t="shared" ref="D27:D39" si="7">AVERAGEIF($B$20:$O$20,$B27,$B$22:$O$22)</f>
        <v>1385.59</v>
      </c>
      <c r="Q27" s="32"/>
      <c r="S27" s="382">
        <v>783.05</v>
      </c>
      <c r="T27" s="382">
        <v>822.86</v>
      </c>
      <c r="U27" s="382">
        <v>864.12</v>
      </c>
      <c r="V27" s="382">
        <v>860.22</v>
      </c>
      <c r="W27" s="382">
        <v>837.73</v>
      </c>
      <c r="X27" s="382">
        <v>842.4</v>
      </c>
      <c r="Y27" s="382">
        <v>834.83</v>
      </c>
      <c r="Z27" s="382">
        <v>856.41</v>
      </c>
      <c r="AA27" s="382">
        <v>856.11</v>
      </c>
      <c r="AB27" s="382">
        <v>876.23</v>
      </c>
      <c r="AC27" s="382">
        <v>914.08</v>
      </c>
      <c r="AD27" s="382">
        <v>901.16</v>
      </c>
      <c r="AE27" s="382">
        <v>884.58</v>
      </c>
      <c r="AF27" s="382">
        <v>884.66</v>
      </c>
      <c r="AG27" s="382">
        <v>887.55</v>
      </c>
      <c r="AH27" s="382">
        <v>904.94</v>
      </c>
      <c r="AI27" s="382">
        <v>895.68</v>
      </c>
      <c r="AJ27" s="382">
        <v>880.16</v>
      </c>
      <c r="AK27" s="382">
        <v>878.41</v>
      </c>
      <c r="AL27" s="382">
        <v>878.32</v>
      </c>
      <c r="AM27" s="382">
        <v>905.61</v>
      </c>
      <c r="AN27" s="382">
        <v>904.58</v>
      </c>
      <c r="AO27" s="382">
        <v>910.54</v>
      </c>
      <c r="AP27" s="382">
        <v>895.45</v>
      </c>
      <c r="AQ27" s="382">
        <v>897.15</v>
      </c>
      <c r="AR27" s="382">
        <v>884.48</v>
      </c>
      <c r="AS27" s="382">
        <v>884.07</v>
      </c>
      <c r="AT27" s="382">
        <v>907.93</v>
      </c>
      <c r="AU27" s="382">
        <v>890.34</v>
      </c>
      <c r="AV27" s="382">
        <v>895.79</v>
      </c>
      <c r="AW27" s="382">
        <v>886.23</v>
      </c>
      <c r="AX27" s="382">
        <v>890.46</v>
      </c>
      <c r="AY27" s="382">
        <v>906.11</v>
      </c>
      <c r="AZ27" s="382">
        <v>913.13</v>
      </c>
      <c r="BA27" s="382">
        <v>912.85</v>
      </c>
      <c r="BB27" s="382">
        <v>887.11</v>
      </c>
      <c r="BC27" s="382">
        <v>915.33</v>
      </c>
      <c r="BD27" s="382">
        <v>915.32</v>
      </c>
      <c r="BE27" s="382">
        <v>907.78</v>
      </c>
      <c r="BF27" s="382">
        <v>924.75</v>
      </c>
      <c r="BG27" s="382">
        <v>921.67</v>
      </c>
      <c r="BH27" s="382">
        <v>922.05</v>
      </c>
      <c r="BI27" s="382">
        <v>919.44</v>
      </c>
      <c r="BJ27" s="382">
        <v>920.64</v>
      </c>
      <c r="BK27" s="382">
        <v>924.74</v>
      </c>
      <c r="BL27" s="382">
        <v>932.3</v>
      </c>
      <c r="BM27" s="382">
        <v>945.21</v>
      </c>
      <c r="BN27" s="382">
        <v>909.36</v>
      </c>
      <c r="BO27" s="382">
        <v>912.21</v>
      </c>
      <c r="BP27" s="382">
        <v>927.58</v>
      </c>
      <c r="BQ27" s="382">
        <v>927.85</v>
      </c>
      <c r="BR27" s="382">
        <v>935.23</v>
      </c>
      <c r="BS27" s="382">
        <v>938.58</v>
      </c>
      <c r="BT27" s="382">
        <v>942.74</v>
      </c>
      <c r="BU27" s="382">
        <v>936.41</v>
      </c>
      <c r="BV27" s="382">
        <v>930.31</v>
      </c>
      <c r="BW27" s="382">
        <v>940.2</v>
      </c>
      <c r="BX27" s="382">
        <v>955.56</v>
      </c>
      <c r="BY27" s="382">
        <v>959.1</v>
      </c>
      <c r="BZ27" s="382">
        <v>934.63</v>
      </c>
      <c r="CA27" s="382">
        <v>919.03</v>
      </c>
      <c r="CB27" s="382">
        <v>927.4</v>
      </c>
      <c r="CC27" s="382">
        <v>931.97</v>
      </c>
      <c r="CD27" s="382">
        <v>940.06</v>
      </c>
      <c r="CE27" s="382">
        <v>931.98</v>
      </c>
      <c r="CF27" s="382">
        <v>934.57</v>
      </c>
      <c r="CG27" s="382">
        <v>935.04</v>
      </c>
      <c r="CH27" s="382">
        <v>935.02</v>
      </c>
      <c r="CI27" s="382">
        <v>950.5</v>
      </c>
      <c r="CJ27" s="382">
        <v>958.25</v>
      </c>
      <c r="CK27" s="382">
        <v>970.73</v>
      </c>
      <c r="CL27" s="382">
        <v>942.46</v>
      </c>
      <c r="CM27" s="382">
        <v>967.08</v>
      </c>
      <c r="CN27" s="382">
        <v>969.07</v>
      </c>
      <c r="CO27" s="382">
        <v>959.15</v>
      </c>
      <c r="CP27" s="382">
        <v>993.29</v>
      </c>
      <c r="CQ27" s="382">
        <v>999.42</v>
      </c>
      <c r="CR27" s="382">
        <v>998.34</v>
      </c>
      <c r="CS27" s="382">
        <v>969.94</v>
      </c>
      <c r="CT27" s="382">
        <v>974.01</v>
      </c>
      <c r="CU27" s="382">
        <v>991.88</v>
      </c>
      <c r="CV27" s="383">
        <v>1025.73</v>
      </c>
      <c r="CW27" s="383">
        <v>1016.63</v>
      </c>
      <c r="CX27" s="382">
        <v>989.92</v>
      </c>
      <c r="CY27" s="383">
        <v>1064.6500000000001</v>
      </c>
      <c r="CZ27" s="383">
        <v>1011.82</v>
      </c>
      <c r="DA27" s="383">
        <v>1007.16</v>
      </c>
      <c r="DB27" s="383">
        <v>1011.04</v>
      </c>
      <c r="DC27" s="383">
        <v>1013.18</v>
      </c>
      <c r="DD27" s="383">
        <v>1031.8800000000001</v>
      </c>
      <c r="DE27" s="383">
        <v>1041.6199999999999</v>
      </c>
      <c r="DF27" s="383">
        <v>1039</v>
      </c>
      <c r="DG27" s="383">
        <v>1039.92</v>
      </c>
      <c r="DH27" s="383">
        <v>1044.75</v>
      </c>
      <c r="DI27" s="383">
        <v>1044.54</v>
      </c>
      <c r="DJ27" s="383">
        <v>1049.2</v>
      </c>
      <c r="DK27" s="383">
        <v>1043.23</v>
      </c>
      <c r="DL27" s="383">
        <v>1039.5</v>
      </c>
      <c r="DM27" s="383">
        <v>1042.05</v>
      </c>
      <c r="DN27" s="383">
        <v>1062.6400000000001</v>
      </c>
      <c r="DO27" s="383">
        <v>1054.3599999999999</v>
      </c>
      <c r="DP27" s="383">
        <v>1023.22</v>
      </c>
      <c r="DQ27" s="383">
        <v>1049.26</v>
      </c>
      <c r="DR27" s="383">
        <v>1053.32</v>
      </c>
      <c r="DS27" s="383">
        <v>1050.77</v>
      </c>
      <c r="DT27" s="383">
        <v>1057.8</v>
      </c>
      <c r="DU27" s="383">
        <v>1060.68</v>
      </c>
      <c r="DV27" s="383">
        <v>1064.49</v>
      </c>
      <c r="DW27" s="383">
        <v>1064.3900000000001</v>
      </c>
      <c r="DX27" s="383">
        <v>1069.17</v>
      </c>
      <c r="DY27" s="383">
        <v>1067.6300000000001</v>
      </c>
      <c r="DZ27" s="383">
        <v>1065.73</v>
      </c>
      <c r="EA27" s="383">
        <v>1064.43</v>
      </c>
      <c r="EB27" s="383">
        <v>1064.8900000000001</v>
      </c>
      <c r="EC27" s="383">
        <v>1067.55</v>
      </c>
      <c r="ED27" s="383">
        <v>1067.93</v>
      </c>
      <c r="EE27" s="383">
        <v>1069.0999999999999</v>
      </c>
      <c r="EF27" s="383">
        <v>1071.52</v>
      </c>
      <c r="EG27" s="383">
        <v>1070.48</v>
      </c>
      <c r="EH27" s="383">
        <v>1072.96</v>
      </c>
    </row>
    <row r="28" spans="1:138" ht="13.5" thickBot="1" x14ac:dyDescent="0.25">
      <c r="B28" s="46">
        <v>2003</v>
      </c>
      <c r="C28" s="417">
        <f t="shared" si="6"/>
        <v>728.38</v>
      </c>
      <c r="D28" s="417">
        <f t="shared" si="7"/>
        <v>1441.31</v>
      </c>
      <c r="Q28" s="32"/>
    </row>
    <row r="29" spans="1:138" ht="13.5" thickBot="1" x14ac:dyDescent="0.25">
      <c r="B29" s="46">
        <v>2004</v>
      </c>
      <c r="C29" s="417">
        <f t="shared" si="6"/>
        <v>748.57</v>
      </c>
      <c r="D29" s="417">
        <f t="shared" si="7"/>
        <v>1420.13</v>
      </c>
      <c r="Q29" s="32"/>
    </row>
    <row r="30" spans="1:138" ht="13.5" thickBot="1" x14ac:dyDescent="0.25">
      <c r="B30" s="46">
        <v>2005</v>
      </c>
      <c r="C30" s="417">
        <f t="shared" si="6"/>
        <v>775.8</v>
      </c>
      <c r="D30" s="417">
        <f t="shared" si="7"/>
        <v>1449.84</v>
      </c>
      <c r="Q30" s="32"/>
      <c r="S30" s="49" t="s">
        <v>52</v>
      </c>
      <c r="T30" s="50" t="s">
        <v>55</v>
      </c>
      <c r="U30" s="50" t="s">
        <v>56</v>
      </c>
    </row>
    <row r="31" spans="1:138" ht="13.5" thickBot="1" x14ac:dyDescent="0.25">
      <c r="B31" s="46">
        <v>2006</v>
      </c>
      <c r="C31" s="417">
        <f t="shared" si="6"/>
        <v>788.25</v>
      </c>
      <c r="D31" s="417">
        <f t="shared" si="7"/>
        <v>1488.34</v>
      </c>
      <c r="Q31" s="32"/>
      <c r="S31" s="46">
        <v>1991</v>
      </c>
      <c r="T31" s="417">
        <f t="shared" ref="T31:T40" si="8">AVERAGEIF($S$15:$EH$15,$S31,$S$19:$EH$19)</f>
        <v>575.90333333333331</v>
      </c>
      <c r="U31" s="417">
        <f>AVERAGEIF($S$15:$EH$15,$S31,$S$27:$EH$27)</f>
        <v>854.09999999999991</v>
      </c>
    </row>
    <row r="32" spans="1:138" ht="13.5" thickBot="1" x14ac:dyDescent="0.25">
      <c r="B32" s="46">
        <v>2007</v>
      </c>
      <c r="C32" s="417">
        <f t="shared" si="6"/>
        <v>818.61</v>
      </c>
      <c r="D32" s="417">
        <f t="shared" si="7"/>
        <v>1577.41</v>
      </c>
      <c r="Q32" s="32"/>
      <c r="S32" s="46">
        <v>1992</v>
      </c>
      <c r="T32" s="417">
        <f t="shared" si="8"/>
        <v>598.56916666666666</v>
      </c>
      <c r="U32" s="417">
        <f t="shared" ref="U32:U40" si="9">AVERAGEIF($S$15:$EH$15,$S32,$S$27:$EH$27)</f>
        <v>892.54</v>
      </c>
    </row>
    <row r="33" spans="2:21" ht="13.5" thickBot="1" x14ac:dyDescent="0.25">
      <c r="B33" s="46">
        <v>2008</v>
      </c>
      <c r="C33" s="417">
        <f t="shared" si="6"/>
        <v>837.91</v>
      </c>
      <c r="D33" s="417">
        <f t="shared" si="7"/>
        <v>1544.3</v>
      </c>
      <c r="Q33" s="32"/>
      <c r="S33" s="46">
        <v>1993</v>
      </c>
      <c r="T33" s="417">
        <f t="shared" si="8"/>
        <v>612.10833333333335</v>
      </c>
      <c r="U33" s="417">
        <f t="shared" si="9"/>
        <v>896.30416666666667</v>
      </c>
    </row>
    <row r="34" spans="2:21" ht="13.5" thickBot="1" x14ac:dyDescent="0.25">
      <c r="B34" s="46">
        <v>2009</v>
      </c>
      <c r="C34" s="417">
        <f t="shared" si="6"/>
        <v>848.85</v>
      </c>
      <c r="D34" s="417">
        <f t="shared" si="7"/>
        <v>1672.72</v>
      </c>
      <c r="Q34" s="32"/>
      <c r="S34" s="46">
        <v>1994</v>
      </c>
      <c r="T34" s="417">
        <f t="shared" si="8"/>
        <v>627.87250000000006</v>
      </c>
      <c r="U34" s="417">
        <f t="shared" si="9"/>
        <v>921.54916666666668</v>
      </c>
    </row>
    <row r="35" spans="2:21" ht="13.5" thickBot="1" x14ac:dyDescent="0.25">
      <c r="B35" s="46">
        <v>2010</v>
      </c>
      <c r="C35" s="417">
        <f t="shared" si="6"/>
        <v>881.43</v>
      </c>
      <c r="D35" s="417">
        <f t="shared" si="7"/>
        <v>1680.01</v>
      </c>
      <c r="Q35" s="32"/>
      <c r="S35" s="46">
        <v>1995</v>
      </c>
      <c r="T35" s="417">
        <f t="shared" si="8"/>
        <v>633.98</v>
      </c>
      <c r="U35" s="417">
        <f t="shared" si="9"/>
        <v>936.69999999999993</v>
      </c>
    </row>
    <row r="36" spans="2:21" ht="13.5" thickBot="1" x14ac:dyDescent="0.25">
      <c r="B36" s="46">
        <v>2011</v>
      </c>
      <c r="C36" s="417">
        <f t="shared" si="6"/>
        <v>893.41</v>
      </c>
      <c r="D36" s="417">
        <f t="shared" si="7"/>
        <v>1714.92</v>
      </c>
      <c r="Q36" s="32"/>
      <c r="S36" s="46">
        <v>1996</v>
      </c>
      <c r="T36" s="417">
        <f t="shared" si="8"/>
        <v>649.29166666666663</v>
      </c>
      <c r="U36" s="417">
        <f t="shared" si="9"/>
        <v>939.75083333333316</v>
      </c>
    </row>
    <row r="37" spans="2:21" ht="13.5" thickBot="1" x14ac:dyDescent="0.25">
      <c r="B37" s="46">
        <v>2012</v>
      </c>
      <c r="C37" s="417">
        <f t="shared" si="6"/>
        <v>906.09</v>
      </c>
      <c r="D37" s="417">
        <f t="shared" si="7"/>
        <v>1707.11</v>
      </c>
      <c r="Q37" s="32"/>
      <c r="S37" s="46">
        <v>1997</v>
      </c>
      <c r="T37" s="417">
        <f t="shared" si="8"/>
        <v>663.50749999999994</v>
      </c>
      <c r="U37" s="417">
        <f t="shared" si="9"/>
        <v>987.87166666666656</v>
      </c>
    </row>
    <row r="38" spans="2:21" ht="13.5" thickBot="1" x14ac:dyDescent="0.25">
      <c r="B38" s="46">
        <v>2013</v>
      </c>
      <c r="C38" s="417">
        <f>AVERAGEIF($B$20:$O$20,$B38,$B$17:$O$17)</f>
        <v>920.12</v>
      </c>
      <c r="D38" s="417">
        <f>AVERAGEIF($B$20:$O$20,$B38,$B$22:$O$22)</f>
        <v>1758.79</v>
      </c>
      <c r="Q38" s="32"/>
      <c r="S38" s="46">
        <v>1998</v>
      </c>
      <c r="T38" s="417">
        <f t="shared" si="8"/>
        <v>672.53000000000009</v>
      </c>
      <c r="U38" s="417">
        <f t="shared" si="9"/>
        <v>1033.2300000000002</v>
      </c>
    </row>
    <row r="39" spans="2:21" ht="13.5" thickBot="1" x14ac:dyDescent="0.25">
      <c r="B39" s="46">
        <v>2014</v>
      </c>
      <c r="C39" s="417">
        <f t="shared" si="6"/>
        <v>938.36</v>
      </c>
      <c r="D39" s="417">
        <f t="shared" si="7"/>
        <v>1915.37</v>
      </c>
      <c r="Q39" s="32"/>
      <c r="S39" s="46">
        <v>1999</v>
      </c>
      <c r="T39" s="417">
        <f t="shared" si="8"/>
        <v>683.48416666666662</v>
      </c>
      <c r="U39" s="417">
        <f t="shared" si="9"/>
        <v>1050.1099999999999</v>
      </c>
    </row>
    <row r="40" spans="2:21" ht="13.5" thickBot="1" x14ac:dyDescent="0.25">
      <c r="Q40" s="32"/>
      <c r="S40" s="46">
        <v>2000</v>
      </c>
      <c r="T40" s="417">
        <f t="shared" si="8"/>
        <v>699.92833333333317</v>
      </c>
      <c r="U40" s="417">
        <f t="shared" si="9"/>
        <v>1067.9816666666668</v>
      </c>
    </row>
    <row r="41" spans="2:21" x14ac:dyDescent="0.2">
      <c r="Q41" s="32"/>
    </row>
    <row r="42" spans="2:21" x14ac:dyDescent="0.2">
      <c r="Q42" s="32"/>
    </row>
    <row r="43" spans="2:21" x14ac:dyDescent="0.2">
      <c r="Q43" s="32"/>
    </row>
    <row r="44" spans="2:21" x14ac:dyDescent="0.2">
      <c r="B44" s="51" t="s">
        <v>57</v>
      </c>
      <c r="Q44" s="32"/>
      <c r="S44" s="51" t="s">
        <v>57</v>
      </c>
    </row>
    <row r="45" spans="2:21" x14ac:dyDescent="0.2">
      <c r="Q45" s="32"/>
      <c r="S45" s="52"/>
    </row>
    <row r="46" spans="2:21" x14ac:dyDescent="0.2">
      <c r="B46" s="53">
        <v>1</v>
      </c>
      <c r="C46" t="s">
        <v>58</v>
      </c>
      <c r="Q46" s="32"/>
      <c r="R46" s="47" t="s">
        <v>59</v>
      </c>
      <c r="S46" s="53">
        <v>3</v>
      </c>
      <c r="T46" s="54" t="s">
        <v>60</v>
      </c>
    </row>
    <row r="47" spans="2:21" x14ac:dyDescent="0.2">
      <c r="B47" s="53">
        <v>2</v>
      </c>
      <c r="C47" s="54" t="s">
        <v>61</v>
      </c>
      <c r="Q47" s="32"/>
      <c r="R47" s="47" t="s">
        <v>59</v>
      </c>
      <c r="S47" s="53">
        <v>4</v>
      </c>
      <c r="T47" s="54" t="s">
        <v>62</v>
      </c>
    </row>
    <row r="48" spans="2:21" x14ac:dyDescent="0.2">
      <c r="B48" s="53">
        <v>3</v>
      </c>
      <c r="C48" s="54" t="s">
        <v>63</v>
      </c>
      <c r="Q48" s="32"/>
      <c r="R48" s="47" t="s">
        <v>59</v>
      </c>
      <c r="S48" s="53">
        <v>5</v>
      </c>
      <c r="T48" s="54" t="s">
        <v>64</v>
      </c>
    </row>
    <row r="49" spans="2:20" x14ac:dyDescent="0.2">
      <c r="B49" s="53">
        <v>4</v>
      </c>
      <c r="C49" s="54" t="s">
        <v>65</v>
      </c>
      <c r="Q49" s="32"/>
      <c r="R49" s="55" t="s">
        <v>59</v>
      </c>
      <c r="S49" s="53">
        <v>6</v>
      </c>
      <c r="T49" s="54" t="s">
        <v>66</v>
      </c>
    </row>
    <row r="50" spans="2:20" x14ac:dyDescent="0.2">
      <c r="B50" s="53">
        <v>5</v>
      </c>
      <c r="C50" s="54" t="s">
        <v>60</v>
      </c>
      <c r="Q50" s="32"/>
      <c r="R50" s="55" t="s">
        <v>59</v>
      </c>
      <c r="S50" s="53">
        <v>7</v>
      </c>
      <c r="T50" s="54" t="s">
        <v>67</v>
      </c>
    </row>
    <row r="51" spans="2:20" x14ac:dyDescent="0.2">
      <c r="B51" s="53">
        <v>6</v>
      </c>
      <c r="C51" s="54" t="s">
        <v>64</v>
      </c>
      <c r="Q51" s="32"/>
      <c r="R51" s="55" t="s">
        <v>59</v>
      </c>
      <c r="S51" s="53">
        <v>8</v>
      </c>
      <c r="T51" s="54" t="s">
        <v>68</v>
      </c>
    </row>
    <row r="52" spans="2:20" x14ac:dyDescent="0.2">
      <c r="B52" s="53">
        <v>7</v>
      </c>
      <c r="C52" s="54" t="s">
        <v>66</v>
      </c>
      <c r="Q52" s="32"/>
      <c r="R52" s="55" t="s">
        <v>59</v>
      </c>
      <c r="S52" s="53">
        <v>9</v>
      </c>
      <c r="T52" s="54" t="s">
        <v>69</v>
      </c>
    </row>
    <row r="53" spans="2:20" x14ac:dyDescent="0.2">
      <c r="B53" s="53">
        <v>8</v>
      </c>
      <c r="C53" s="54" t="s">
        <v>67</v>
      </c>
      <c r="Q53" s="32"/>
      <c r="R53" s="55" t="s">
        <v>59</v>
      </c>
      <c r="S53" s="53">
        <v>10</v>
      </c>
      <c r="T53" s="54" t="s">
        <v>70</v>
      </c>
    </row>
    <row r="54" spans="2:20" x14ac:dyDescent="0.2">
      <c r="B54" s="53">
        <v>9</v>
      </c>
      <c r="C54" s="54" t="s">
        <v>68</v>
      </c>
      <c r="Q54" s="32"/>
      <c r="R54" s="55" t="s">
        <v>59</v>
      </c>
      <c r="S54" s="53">
        <v>11</v>
      </c>
      <c r="T54" s="54" t="s">
        <v>71</v>
      </c>
    </row>
    <row r="55" spans="2:20" x14ac:dyDescent="0.2">
      <c r="B55" s="53">
        <v>10</v>
      </c>
      <c r="C55" s="54" t="s">
        <v>72</v>
      </c>
      <c r="Q55" s="32"/>
      <c r="R55" s="55" t="s">
        <v>59</v>
      </c>
      <c r="S55" s="53">
        <v>12</v>
      </c>
      <c r="T55" s="54" t="s">
        <v>73</v>
      </c>
    </row>
    <row r="56" spans="2:20" x14ac:dyDescent="0.2">
      <c r="B56" s="53">
        <v>11</v>
      </c>
      <c r="C56" s="54" t="s">
        <v>70</v>
      </c>
      <c r="Q56" s="32"/>
      <c r="R56" s="55" t="s">
        <v>59</v>
      </c>
      <c r="S56" s="53">
        <v>13</v>
      </c>
      <c r="T56" s="54" t="s">
        <v>74</v>
      </c>
    </row>
    <row r="57" spans="2:20" x14ac:dyDescent="0.2">
      <c r="B57" s="53">
        <v>12</v>
      </c>
      <c r="C57" s="54" t="s">
        <v>71</v>
      </c>
      <c r="Q57" s="32"/>
      <c r="R57" s="55" t="s">
        <v>59</v>
      </c>
      <c r="S57" s="53">
        <v>14</v>
      </c>
      <c r="T57" s="54" t="s">
        <v>75</v>
      </c>
    </row>
    <row r="58" spans="2:20" x14ac:dyDescent="0.2">
      <c r="B58" s="53">
        <v>13</v>
      </c>
      <c r="C58" s="54" t="s">
        <v>76</v>
      </c>
      <c r="Q58" s="32"/>
      <c r="R58" s="55" t="s">
        <v>59</v>
      </c>
      <c r="S58" s="53">
        <v>15</v>
      </c>
      <c r="T58" s="54" t="s">
        <v>77</v>
      </c>
    </row>
    <row r="59" spans="2:20" x14ac:dyDescent="0.2">
      <c r="B59" s="53">
        <v>14</v>
      </c>
      <c r="C59" s="54" t="s">
        <v>73</v>
      </c>
      <c r="Q59" s="32"/>
      <c r="R59" s="55" t="s">
        <v>59</v>
      </c>
      <c r="S59" s="53">
        <v>16</v>
      </c>
      <c r="T59" s="54" t="s">
        <v>78</v>
      </c>
    </row>
    <row r="60" spans="2:20" x14ac:dyDescent="0.2">
      <c r="B60" s="53">
        <v>15</v>
      </c>
      <c r="C60" s="54" t="s">
        <v>75</v>
      </c>
      <c r="Q60" s="32"/>
      <c r="R60" s="55" t="s">
        <v>59</v>
      </c>
      <c r="S60" s="53">
        <v>17</v>
      </c>
      <c r="T60" s="54" t="s">
        <v>79</v>
      </c>
    </row>
    <row r="61" spans="2:20" x14ac:dyDescent="0.2">
      <c r="B61" s="53">
        <v>16</v>
      </c>
      <c r="C61" s="54" t="s">
        <v>78</v>
      </c>
      <c r="Q61" s="32"/>
      <c r="R61" s="55" t="s">
        <v>59</v>
      </c>
      <c r="S61" s="53">
        <v>18</v>
      </c>
      <c r="T61" s="54" t="s">
        <v>80</v>
      </c>
    </row>
    <row r="62" spans="2:20" x14ac:dyDescent="0.2">
      <c r="B62" s="53">
        <v>17</v>
      </c>
      <c r="C62" s="54" t="s">
        <v>81</v>
      </c>
      <c r="Q62" s="32"/>
      <c r="R62" s="55" t="s">
        <v>59</v>
      </c>
      <c r="S62" s="53">
        <v>19</v>
      </c>
      <c r="T62" s="56" t="s">
        <v>82</v>
      </c>
    </row>
    <row r="63" spans="2:20" x14ac:dyDescent="0.2">
      <c r="B63" s="53">
        <v>18</v>
      </c>
      <c r="C63" s="54" t="s">
        <v>80</v>
      </c>
      <c r="Q63" s="32"/>
      <c r="R63" s="55" t="s">
        <v>59</v>
      </c>
      <c r="S63" s="53"/>
    </row>
    <row r="64" spans="2:20" x14ac:dyDescent="0.2">
      <c r="Q64" s="32"/>
      <c r="R64" s="55" t="s">
        <v>59</v>
      </c>
      <c r="S64" s="53"/>
    </row>
    <row r="65" spans="1:36" x14ac:dyDescent="0.2">
      <c r="B65" s="57" t="s">
        <v>83</v>
      </c>
      <c r="Q65" s="32"/>
      <c r="R65" s="57" t="s">
        <v>59</v>
      </c>
      <c r="S65" s="58" t="s">
        <v>84</v>
      </c>
    </row>
    <row r="66" spans="1:36" s="59" customFormat="1" x14ac:dyDescent="0.2">
      <c r="Q66" s="60"/>
      <c r="S66" s="61"/>
    </row>
    <row r="68" spans="1:36" x14ac:dyDescent="0.2">
      <c r="S68" s="53"/>
    </row>
    <row r="69" spans="1:36" s="35" customFormat="1" ht="15" x14ac:dyDescent="0.25">
      <c r="A69"/>
      <c r="B69" s="62" t="s">
        <v>35</v>
      </c>
      <c r="Q69" s="37"/>
      <c r="R69" s="37"/>
    </row>
    <row r="70" spans="1:36" s="35" customFormat="1" ht="19.5" x14ac:dyDescent="0.3">
      <c r="A70"/>
      <c r="B70" s="39" t="s">
        <v>85</v>
      </c>
      <c r="Q70" s="37"/>
      <c r="R70" s="37"/>
      <c r="S70" s="39"/>
    </row>
    <row r="71" spans="1:36" s="35" customFormat="1" ht="15" x14ac:dyDescent="0.25">
      <c r="A71"/>
      <c r="B71" s="63" t="s">
        <v>86</v>
      </c>
      <c r="Q71" s="37"/>
      <c r="R71" s="37"/>
    </row>
    <row r="72" spans="1:36" x14ac:dyDescent="0.2">
      <c r="B72" s="41" t="s">
        <v>87</v>
      </c>
    </row>
    <row r="73" spans="1:36" x14ac:dyDescent="0.2">
      <c r="B73" s="42" t="s">
        <v>88</v>
      </c>
    </row>
    <row r="74" spans="1:36" x14ac:dyDescent="0.2">
      <c r="B74" s="42" t="s">
        <v>89</v>
      </c>
    </row>
    <row r="75" spans="1:36" x14ac:dyDescent="0.2">
      <c r="B75" s="42" t="s">
        <v>90</v>
      </c>
    </row>
    <row r="77" spans="1:36" ht="13.5" thickBot="1" x14ac:dyDescent="0.25">
      <c r="B77" s="43" t="s">
        <v>111</v>
      </c>
    </row>
    <row r="78" spans="1:36" ht="13.5" thickBot="1" x14ac:dyDescent="0.25">
      <c r="B78" s="46">
        <v>1981</v>
      </c>
      <c r="C78" s="46">
        <v>1982</v>
      </c>
      <c r="D78" s="46">
        <v>1983</v>
      </c>
      <c r="E78" s="46">
        <v>1984</v>
      </c>
      <c r="F78" s="46">
        <v>1985</v>
      </c>
      <c r="G78" s="46">
        <v>1986</v>
      </c>
      <c r="H78" s="46">
        <v>1987</v>
      </c>
      <c r="I78" s="46">
        <v>1988</v>
      </c>
      <c r="J78" s="46">
        <v>1989</v>
      </c>
      <c r="K78" s="46">
        <v>1990</v>
      </c>
      <c r="L78" s="46">
        <v>1991</v>
      </c>
      <c r="M78" s="46">
        <v>1992</v>
      </c>
      <c r="N78" s="46">
        <v>1993</v>
      </c>
      <c r="O78" s="46">
        <v>1994</v>
      </c>
      <c r="P78" s="64">
        <v>1995</v>
      </c>
      <c r="Q78" s="65">
        <v>1996</v>
      </c>
      <c r="R78" s="65">
        <v>1997</v>
      </c>
      <c r="S78" s="46">
        <v>1998</v>
      </c>
      <c r="T78" s="46">
        <v>1999</v>
      </c>
      <c r="U78" s="46">
        <v>2000</v>
      </c>
      <c r="V78" s="46">
        <v>2001</v>
      </c>
      <c r="W78" s="46">
        <v>2002</v>
      </c>
      <c r="X78" s="46">
        <v>2003</v>
      </c>
      <c r="Y78" s="46">
        <v>2004</v>
      </c>
      <c r="Z78" s="46">
        <v>2005</v>
      </c>
      <c r="AA78" s="46">
        <v>2006</v>
      </c>
      <c r="AB78" s="46">
        <v>2007</v>
      </c>
      <c r="AC78" s="46">
        <v>2008</v>
      </c>
      <c r="AD78" s="46">
        <v>2009</v>
      </c>
      <c r="AE78" s="46">
        <v>2010</v>
      </c>
      <c r="AF78" s="46">
        <v>2011</v>
      </c>
      <c r="AG78" s="46">
        <v>2012</v>
      </c>
      <c r="AH78" s="46">
        <v>2013</v>
      </c>
      <c r="AI78" s="46">
        <v>2014</v>
      </c>
    </row>
    <row r="79" spans="1:36" ht="13.5" thickBot="1" x14ac:dyDescent="0.25">
      <c r="B79" s="379">
        <v>47.7</v>
      </c>
      <c r="C79" s="379">
        <v>52.2</v>
      </c>
      <c r="D79" s="379">
        <v>55.1</v>
      </c>
      <c r="E79" s="379">
        <v>57.4</v>
      </c>
      <c r="F79" s="379">
        <v>59.5</v>
      </c>
      <c r="G79" s="379">
        <v>61.8</v>
      </c>
      <c r="H79" s="379">
        <v>64.3</v>
      </c>
      <c r="I79" s="379">
        <v>66.8</v>
      </c>
      <c r="J79" s="379">
        <v>69.7</v>
      </c>
      <c r="K79" s="379">
        <v>72.400000000000006</v>
      </c>
      <c r="L79" s="379">
        <v>74.8</v>
      </c>
      <c r="M79" s="379">
        <v>76.3</v>
      </c>
      <c r="N79" s="379">
        <v>77.7</v>
      </c>
      <c r="O79" s="379">
        <v>79</v>
      </c>
      <c r="P79" s="384">
        <v>79.900000000000006</v>
      </c>
      <c r="Q79" s="385">
        <v>80.8</v>
      </c>
      <c r="R79" s="385">
        <v>82</v>
      </c>
      <c r="S79" s="379">
        <v>83.2</v>
      </c>
      <c r="T79" s="379">
        <v>84.4</v>
      </c>
      <c r="U79" s="379">
        <v>86.5</v>
      </c>
      <c r="V79" s="379">
        <v>88.2</v>
      </c>
      <c r="W79" s="379">
        <v>90.2</v>
      </c>
      <c r="X79" s="379">
        <v>91.7</v>
      </c>
      <c r="Y79" s="379">
        <v>93.4</v>
      </c>
      <c r="Z79" s="379">
        <v>95.4</v>
      </c>
      <c r="AA79" s="379">
        <v>97.7</v>
      </c>
      <c r="AB79" s="379">
        <v>100</v>
      </c>
      <c r="AC79" s="379">
        <v>102.5</v>
      </c>
      <c r="AD79" s="379">
        <v>103.7</v>
      </c>
      <c r="AE79" s="379">
        <v>104.8</v>
      </c>
      <c r="AF79" s="379">
        <v>107.3</v>
      </c>
      <c r="AG79" s="379">
        <v>109.1</v>
      </c>
      <c r="AH79" s="379">
        <v>111</v>
      </c>
      <c r="AI79" s="379">
        <v>113.4</v>
      </c>
    </row>
    <row r="80" spans="1:36" x14ac:dyDescent="0.2">
      <c r="B80" s="110"/>
      <c r="C80" s="112">
        <f t="shared" ref="C80:AE80" si="10">LN(C79/B79)</f>
        <v>9.0151096994297478E-2</v>
      </c>
      <c r="D80" s="112">
        <f t="shared" si="10"/>
        <v>5.4067221270275793E-2</v>
      </c>
      <c r="E80" s="112">
        <f t="shared" si="10"/>
        <v>4.089458716665182E-2</v>
      </c>
      <c r="F80" s="112">
        <f t="shared" si="10"/>
        <v>3.593200922606337E-2</v>
      </c>
      <c r="G80" s="112">
        <f t="shared" si="10"/>
        <v>3.7927051912060882E-2</v>
      </c>
      <c r="H80" s="112">
        <f t="shared" si="10"/>
        <v>3.9656266779928527E-2</v>
      </c>
      <c r="I80" s="112">
        <f t="shared" si="10"/>
        <v>3.8143449299026445E-2</v>
      </c>
      <c r="J80" s="112">
        <f t="shared" si="10"/>
        <v>4.2497237223878138E-2</v>
      </c>
      <c r="K80" s="112">
        <f t="shared" si="10"/>
        <v>3.8005981625192552E-2</v>
      </c>
      <c r="L80" s="112">
        <f t="shared" si="10"/>
        <v>3.2611585588760796E-2</v>
      </c>
      <c r="M80" s="112">
        <f t="shared" si="10"/>
        <v>1.985505330997973E-2</v>
      </c>
      <c r="N80" s="112">
        <f t="shared" si="10"/>
        <v>1.8182319083190547E-2</v>
      </c>
      <c r="O80" s="112">
        <f t="shared" si="10"/>
        <v>1.6592595093419631E-2</v>
      </c>
      <c r="P80" s="112">
        <f t="shared" si="10"/>
        <v>1.132800030520755E-2</v>
      </c>
      <c r="Q80" s="112">
        <f t="shared" si="10"/>
        <v>1.1201112754820696E-2</v>
      </c>
      <c r="R80" s="112">
        <f t="shared" si="10"/>
        <v>1.4742281737203431E-2</v>
      </c>
      <c r="S80" s="112">
        <f t="shared" si="10"/>
        <v>1.4528100562909808E-2</v>
      </c>
      <c r="T80" s="112">
        <f t="shared" si="10"/>
        <v>1.4320053774748471E-2</v>
      </c>
      <c r="U80" s="112">
        <f t="shared" si="10"/>
        <v>2.457701233592216E-2</v>
      </c>
      <c r="V80" s="112">
        <f t="shared" si="10"/>
        <v>1.9462549074912027E-2</v>
      </c>
      <c r="W80" s="112">
        <f t="shared" si="10"/>
        <v>2.2422464055832307E-2</v>
      </c>
      <c r="X80" s="112">
        <f t="shared" si="10"/>
        <v>1.6492952193841167E-2</v>
      </c>
      <c r="Y80" s="112">
        <f t="shared" si="10"/>
        <v>1.8368965972377756E-2</v>
      </c>
      <c r="Z80" s="112">
        <f t="shared" si="10"/>
        <v>2.1187233219443845E-2</v>
      </c>
      <c r="AA80" s="112">
        <f t="shared" si="10"/>
        <v>2.3822980594496244E-2</v>
      </c>
      <c r="AB80" s="112">
        <f t="shared" si="10"/>
        <v>2.3268626939354269E-2</v>
      </c>
      <c r="AC80" s="112">
        <f t="shared" si="10"/>
        <v>2.4692612590371414E-2</v>
      </c>
      <c r="AD80" s="112">
        <f t="shared" si="10"/>
        <v>1.1639316657018787E-2</v>
      </c>
      <c r="AE80" s="112">
        <f t="shared" si="10"/>
        <v>1.0551656651460142E-2</v>
      </c>
      <c r="AF80" s="112">
        <f>LN(AF79/AE79)</f>
        <v>2.3574877749711079E-2</v>
      </c>
      <c r="AG80" s="112">
        <f>LN(AG79/AF79)</f>
        <v>1.6636243202372291E-2</v>
      </c>
      <c r="AH80" s="112">
        <f>LN(AH79/AG79)</f>
        <v>1.7265308473309048E-2</v>
      </c>
      <c r="AI80" s="112">
        <f>LN(AI79/AH79)</f>
        <v>2.139118998131756E-2</v>
      </c>
      <c r="AJ80" s="111">
        <f>AVERAGE(AF80:AI80)</f>
        <v>1.9716904851677496E-2</v>
      </c>
    </row>
    <row r="81" spans="2:36" x14ac:dyDescent="0.2">
      <c r="B81" s="110"/>
      <c r="C81" s="110"/>
      <c r="D81" s="110"/>
      <c r="E81" s="110"/>
      <c r="F81" s="110"/>
      <c r="G81" s="110"/>
      <c r="H81" s="110"/>
      <c r="I81" s="110"/>
      <c r="J81" s="110"/>
      <c r="K81" s="110"/>
      <c r="L81" s="110"/>
      <c r="M81" s="110"/>
      <c r="N81" s="110"/>
      <c r="O81" s="110"/>
      <c r="P81" s="110"/>
      <c r="Q81" s="110"/>
      <c r="R81" s="110"/>
      <c r="S81" s="110"/>
      <c r="T81" s="110"/>
      <c r="U81" s="110">
        <v>1</v>
      </c>
      <c r="V81" s="110">
        <f>U81*(1+V80)</f>
        <v>1.0194625490749121</v>
      </c>
      <c r="W81" s="110">
        <f t="shared" ref="W81:AF81" si="11">V81*(1+W80)</f>
        <v>1.0423214114378114</v>
      </c>
      <c r="X81" s="110">
        <f t="shared" si="11"/>
        <v>1.0595123686472723</v>
      </c>
      <c r="Y81" s="110">
        <f t="shared" si="11"/>
        <v>1.0789745152942674</v>
      </c>
      <c r="Z81" s="110">
        <f t="shared" si="11"/>
        <v>1.1018349999876433</v>
      </c>
      <c r="AA81" s="110">
        <f t="shared" si="11"/>
        <v>1.1280839938106857</v>
      </c>
      <c r="AB81" s="110">
        <f t="shared" si="11"/>
        <v>1.1543329594189233</v>
      </c>
      <c r="AC81" s="110">
        <f t="shared" si="11"/>
        <v>1.1828364559861517</v>
      </c>
      <c r="AD81" s="110">
        <f t="shared" si="11"/>
        <v>1.1966038640508405</v>
      </c>
      <c r="AE81" s="110">
        <f t="shared" si="11"/>
        <v>1.2092300171721153</v>
      </c>
      <c r="AF81" s="110">
        <f t="shared" si="11"/>
        <v>1.2377374669982291</v>
      </c>
      <c r="AG81" s="110">
        <f>AF81*(1+AG80)</f>
        <v>1.2583287685198998</v>
      </c>
      <c r="AH81" s="110">
        <f>AG81*(1+AH80)</f>
        <v>1.280054202869235</v>
      </c>
      <c r="AI81" s="110">
        <f>AH81*(1+AI80)</f>
        <v>1.3074360855091947</v>
      </c>
    </row>
    <row r="82" spans="2:36" x14ac:dyDescent="0.2">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2:36" ht="13.5" thickBot="1" x14ac:dyDescent="0.25">
      <c r="B83" s="43" t="s">
        <v>112</v>
      </c>
    </row>
    <row r="84" spans="2:36" ht="13.5" thickBot="1" x14ac:dyDescent="0.25">
      <c r="B84" s="46">
        <v>1981</v>
      </c>
      <c r="C84" s="46">
        <v>1982</v>
      </c>
      <c r="D84" s="46">
        <v>1983</v>
      </c>
      <c r="E84" s="46">
        <v>1984</v>
      </c>
      <c r="F84" s="46">
        <v>1985</v>
      </c>
      <c r="G84" s="46">
        <v>1986</v>
      </c>
      <c r="H84" s="46">
        <v>1987</v>
      </c>
      <c r="I84" s="46">
        <v>1988</v>
      </c>
      <c r="J84" s="46">
        <v>1989</v>
      </c>
      <c r="K84" s="46">
        <v>1990</v>
      </c>
      <c r="L84" s="46">
        <v>1991</v>
      </c>
      <c r="M84" s="46">
        <v>1992</v>
      </c>
      <c r="N84" s="46">
        <v>1993</v>
      </c>
      <c r="O84" s="46">
        <v>1994</v>
      </c>
      <c r="P84" s="64">
        <v>1995</v>
      </c>
      <c r="Q84" s="65">
        <v>1996</v>
      </c>
      <c r="R84" s="65">
        <v>1997</v>
      </c>
      <c r="S84" s="46">
        <v>1998</v>
      </c>
      <c r="T84" s="46">
        <v>1999</v>
      </c>
      <c r="U84" s="46">
        <v>2000</v>
      </c>
      <c r="V84" s="46">
        <v>2001</v>
      </c>
      <c r="W84" s="46">
        <v>2002</v>
      </c>
      <c r="X84" s="46">
        <v>2003</v>
      </c>
      <c r="Y84" s="46">
        <v>2004</v>
      </c>
      <c r="Z84" s="46">
        <v>2005</v>
      </c>
      <c r="AA84" s="46">
        <v>2006</v>
      </c>
      <c r="AB84" s="46">
        <v>2007</v>
      </c>
      <c r="AC84" s="46">
        <v>2008</v>
      </c>
      <c r="AD84" s="46">
        <v>2009</v>
      </c>
      <c r="AE84" s="46">
        <v>2010</v>
      </c>
      <c r="AF84" s="46">
        <v>2011</v>
      </c>
      <c r="AG84" s="46">
        <v>2012</v>
      </c>
      <c r="AH84" s="46">
        <v>2013</v>
      </c>
      <c r="AI84" s="46">
        <v>2014</v>
      </c>
    </row>
    <row r="85" spans="2:36" ht="13.5" thickBot="1" x14ac:dyDescent="0.25">
      <c r="B85" s="379">
        <v>48.1</v>
      </c>
      <c r="C85" s="379">
        <v>52.6</v>
      </c>
      <c r="D85" s="379">
        <v>55.8</v>
      </c>
      <c r="E85" s="379">
        <v>58.3</v>
      </c>
      <c r="F85" s="379">
        <v>60.6</v>
      </c>
      <c r="G85" s="379">
        <v>63.2</v>
      </c>
      <c r="H85" s="379">
        <v>66.400000000000006</v>
      </c>
      <c r="I85" s="379">
        <v>69.400000000000006</v>
      </c>
      <c r="J85" s="379">
        <v>72.7</v>
      </c>
      <c r="K85" s="379">
        <v>75.099999999999994</v>
      </c>
      <c r="L85" s="379">
        <v>77.5</v>
      </c>
      <c r="M85" s="379">
        <v>78.400000000000006</v>
      </c>
      <c r="N85" s="379">
        <v>79.900000000000006</v>
      </c>
      <c r="O85" s="379">
        <v>81</v>
      </c>
      <c r="P85" s="379">
        <v>81.900000000000006</v>
      </c>
      <c r="Q85" s="379">
        <v>82.6</v>
      </c>
      <c r="R85" s="379">
        <v>83.9</v>
      </c>
      <c r="S85" s="379">
        <v>85.3</v>
      </c>
      <c r="T85" s="379">
        <v>86.2</v>
      </c>
      <c r="U85" s="379">
        <v>88.2</v>
      </c>
      <c r="V85" s="379">
        <v>90</v>
      </c>
      <c r="W85" s="379">
        <v>91.9</v>
      </c>
      <c r="X85" s="379">
        <v>93.4</v>
      </c>
      <c r="Y85" s="379">
        <v>95</v>
      </c>
      <c r="Z85" s="379">
        <v>96.8</v>
      </c>
      <c r="AA85" s="379">
        <v>98.3</v>
      </c>
      <c r="AB85" s="379">
        <v>100</v>
      </c>
      <c r="AC85" s="379">
        <v>102.2</v>
      </c>
      <c r="AD85" s="379">
        <v>103.3</v>
      </c>
      <c r="AE85" s="379">
        <v>104.5</v>
      </c>
      <c r="AF85" s="379">
        <v>107</v>
      </c>
      <c r="AG85" s="379">
        <v>108.7</v>
      </c>
      <c r="AH85" s="379">
        <v>110.7</v>
      </c>
      <c r="AI85" s="379">
        <v>113</v>
      </c>
    </row>
    <row r="86" spans="2:36" x14ac:dyDescent="0.2">
      <c r="B86" s="110"/>
      <c r="C86" s="112">
        <f>LN(C85/B85)</f>
        <v>8.9433942631948635E-2</v>
      </c>
      <c r="D86" s="112">
        <f t="shared" ref="D86:AD86" si="12">LN(D85/C85)</f>
        <v>5.9057749643600943E-2</v>
      </c>
      <c r="E86" s="112">
        <f t="shared" si="12"/>
        <v>4.3828223969181471E-2</v>
      </c>
      <c r="F86" s="112">
        <f t="shared" si="12"/>
        <v>3.8692799718822203E-2</v>
      </c>
      <c r="G86" s="112">
        <f t="shared" si="12"/>
        <v>4.2009408077542935E-2</v>
      </c>
      <c r="H86" s="112">
        <f t="shared" si="12"/>
        <v>4.9392755329576474E-2</v>
      </c>
      <c r="I86" s="112">
        <f t="shared" si="12"/>
        <v>4.4189811030370549E-2</v>
      </c>
      <c r="J86" s="112">
        <f t="shared" si="12"/>
        <v>4.6454517026714916E-2</v>
      </c>
      <c r="K86" s="112">
        <f t="shared" si="12"/>
        <v>3.2479174230615304E-2</v>
      </c>
      <c r="L86" s="112">
        <f t="shared" si="12"/>
        <v>3.1457377589212243E-2</v>
      </c>
      <c r="M86" s="112">
        <f t="shared" si="12"/>
        <v>1.1545990997060948E-2</v>
      </c>
      <c r="N86" s="112">
        <f t="shared" si="12"/>
        <v>1.8951925415866908E-2</v>
      </c>
      <c r="O86" s="112">
        <f t="shared" si="12"/>
        <v>1.3673301900209642E-2</v>
      </c>
      <c r="P86" s="112">
        <f t="shared" si="12"/>
        <v>1.1049836186584935E-2</v>
      </c>
      <c r="Q86" s="112">
        <f t="shared" si="12"/>
        <v>8.5106896679086105E-3</v>
      </c>
      <c r="R86" s="112">
        <f t="shared" si="12"/>
        <v>1.5615932946228164E-2</v>
      </c>
      <c r="S86" s="112">
        <f t="shared" si="12"/>
        <v>1.6548841024472929E-2</v>
      </c>
      <c r="T86" s="112">
        <f t="shared" si="12"/>
        <v>1.0495723172014091E-2</v>
      </c>
      <c r="U86" s="112">
        <f t="shared" si="12"/>
        <v>2.2936785343098232E-2</v>
      </c>
      <c r="V86" s="112">
        <f t="shared" si="12"/>
        <v>2.0202707317519469E-2</v>
      </c>
      <c r="W86" s="112">
        <f t="shared" si="12"/>
        <v>2.0891359031376268E-2</v>
      </c>
      <c r="X86" s="112">
        <f t="shared" si="12"/>
        <v>1.6190315873155638E-2</v>
      </c>
      <c r="Y86" s="112">
        <f t="shared" si="12"/>
        <v>1.6985546365743807E-2</v>
      </c>
      <c r="Z86" s="112">
        <f t="shared" si="12"/>
        <v>1.8770102681990468E-2</v>
      </c>
      <c r="AA86" s="112">
        <f t="shared" si="12"/>
        <v>1.5377032870589512E-2</v>
      </c>
      <c r="AB86" s="112">
        <f t="shared" si="12"/>
        <v>1.7146158834970584E-2</v>
      </c>
      <c r="AC86" s="112">
        <f t="shared" si="12"/>
        <v>2.176149178151271E-2</v>
      </c>
      <c r="AD86" s="112">
        <f t="shared" si="12"/>
        <v>1.0705698355988721E-2</v>
      </c>
      <c r="AE86" s="112">
        <f>LN(AE85/AD85)</f>
        <v>1.1549695279272789E-2</v>
      </c>
      <c r="AF86" s="112">
        <f>LN(AF85/AE85)</f>
        <v>2.3641763057040494E-2</v>
      </c>
      <c r="AG86" s="112">
        <f>LN(AG85/AF85)</f>
        <v>1.5762959665257554E-2</v>
      </c>
      <c r="AH86" s="112">
        <f>LN(AH85/AG85)</f>
        <v>1.8232045587427425E-2</v>
      </c>
      <c r="AI86" s="112">
        <f>LN(AI85/AH85)</f>
        <v>2.0563978997749449E-2</v>
      </c>
      <c r="AJ86" s="111">
        <f>AVERAGE(AF86:AI86)</f>
        <v>1.955018682686873E-2</v>
      </c>
    </row>
    <row r="87" spans="2:36" x14ac:dyDescent="0.2">
      <c r="B87" s="110"/>
      <c r="C87" s="110"/>
      <c r="D87" s="110"/>
      <c r="E87" s="110"/>
      <c r="F87" s="110"/>
      <c r="G87" s="110"/>
      <c r="H87" s="110"/>
      <c r="I87" s="110"/>
      <c r="J87" s="110"/>
      <c r="K87" s="110"/>
      <c r="L87" s="110"/>
      <c r="M87" s="110"/>
      <c r="N87" s="110"/>
      <c r="O87" s="110"/>
      <c r="P87" s="110"/>
      <c r="Q87" s="110"/>
      <c r="R87" s="110"/>
      <c r="S87" s="110"/>
      <c r="T87" s="110"/>
      <c r="U87" s="110">
        <v>1</v>
      </c>
      <c r="V87" s="110">
        <f t="shared" ref="V87:AD87" si="13">U87*(1+V86)</f>
        <v>1.0202027073175195</v>
      </c>
      <c r="W87" s="110">
        <f t="shared" si="13"/>
        <v>1.0415161283608718</v>
      </c>
      <c r="X87" s="110">
        <f t="shared" si="13"/>
        <v>1.0583786034660203</v>
      </c>
      <c r="Y87" s="110">
        <f t="shared" si="13"/>
        <v>1.0763557423077035</v>
      </c>
      <c r="Z87" s="110">
        <f t="shared" si="13"/>
        <v>1.096559050113169</v>
      </c>
      <c r="AA87" s="110">
        <f t="shared" si="13"/>
        <v>1.1134208746713017</v>
      </c>
      <c r="AB87" s="110">
        <f t="shared" si="13"/>
        <v>1.1325117658385877</v>
      </c>
      <c r="AC87" s="110">
        <f t="shared" si="13"/>
        <v>1.1571569113233506</v>
      </c>
      <c r="AD87" s="110">
        <f t="shared" si="13"/>
        <v>1.169545084166526</v>
      </c>
      <c r="AE87" s="110">
        <f>AD87*(1+AE86)</f>
        <v>1.1830529735040209</v>
      </c>
      <c r="AF87" s="110">
        <f>AE87*(1+AF86)</f>
        <v>1.2110224315875302</v>
      </c>
      <c r="AG87" s="110">
        <f>AF87*(1+AG86)</f>
        <v>1.2301117293303665</v>
      </c>
      <c r="AH87" s="110">
        <f>AG87*(1+AH86)</f>
        <v>1.252539182457147</v>
      </c>
      <c r="AI87" s="110">
        <f>AH87*(1+AI86)</f>
        <v>1.2782963718990541</v>
      </c>
    </row>
    <row r="88" spans="2:36" x14ac:dyDescent="0.2">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2:36" x14ac:dyDescent="0.2">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row>
    <row r="90" spans="2:36" ht="13.5" thickBot="1" x14ac:dyDescent="0.25">
      <c r="B90" s="43"/>
      <c r="C90" s="43" t="s">
        <v>111</v>
      </c>
      <c r="D90" s="43" t="s">
        <v>112</v>
      </c>
    </row>
    <row r="91" spans="2:36" ht="13.5" thickBot="1" x14ac:dyDescent="0.25">
      <c r="B91" s="46">
        <v>1981</v>
      </c>
      <c r="C91" s="417">
        <f>AVERAGEIF($B$78:$AI$78,$B91,$B$79:$AI$79)</f>
        <v>47.7</v>
      </c>
      <c r="D91" s="417">
        <f>AVERAGEIF($B$78:$AI$78,$B91,$B$85:$AI$85)</f>
        <v>48.1</v>
      </c>
    </row>
    <row r="92" spans="2:36" ht="13.5" thickBot="1" x14ac:dyDescent="0.25">
      <c r="B92" s="46">
        <v>1982</v>
      </c>
      <c r="C92" s="417">
        <f t="shared" ref="C92:C124" si="14">AVERAGEIF($B$78:$AI$78,$B92,$B$79:$AI$79)</f>
        <v>52.2</v>
      </c>
      <c r="D92" s="417">
        <f t="shared" ref="D92:D124" si="15">AVERAGEIF($B$78:$AI$78,$B92,$B$85:$AI$85)</f>
        <v>52.6</v>
      </c>
    </row>
    <row r="93" spans="2:36" ht="13.5" thickBot="1" x14ac:dyDescent="0.25">
      <c r="B93" s="46">
        <v>1983</v>
      </c>
      <c r="C93" s="417">
        <f t="shared" si="14"/>
        <v>55.1</v>
      </c>
      <c r="D93" s="417">
        <f t="shared" si="15"/>
        <v>55.8</v>
      </c>
    </row>
    <row r="94" spans="2:36" ht="13.5" thickBot="1" x14ac:dyDescent="0.25">
      <c r="B94" s="46">
        <v>1984</v>
      </c>
      <c r="C94" s="417">
        <f t="shared" si="14"/>
        <v>57.4</v>
      </c>
      <c r="D94" s="417">
        <f t="shared" si="15"/>
        <v>58.3</v>
      </c>
    </row>
    <row r="95" spans="2:36" ht="13.5" thickBot="1" x14ac:dyDescent="0.25">
      <c r="B95" s="46">
        <v>1985</v>
      </c>
      <c r="C95" s="417">
        <f t="shared" si="14"/>
        <v>59.5</v>
      </c>
      <c r="D95" s="417">
        <f t="shared" si="15"/>
        <v>60.6</v>
      </c>
    </row>
    <row r="96" spans="2:36" ht="13.5" thickBot="1" x14ac:dyDescent="0.25">
      <c r="B96" s="46">
        <v>1986</v>
      </c>
      <c r="C96" s="417">
        <f t="shared" si="14"/>
        <v>61.8</v>
      </c>
      <c r="D96" s="417">
        <f t="shared" si="15"/>
        <v>63.2</v>
      </c>
    </row>
    <row r="97" spans="2:4" ht="13.5" thickBot="1" x14ac:dyDescent="0.25">
      <c r="B97" s="46">
        <v>1987</v>
      </c>
      <c r="C97" s="417">
        <f t="shared" si="14"/>
        <v>64.3</v>
      </c>
      <c r="D97" s="417">
        <f t="shared" si="15"/>
        <v>66.400000000000006</v>
      </c>
    </row>
    <row r="98" spans="2:4" ht="13.5" thickBot="1" x14ac:dyDescent="0.25">
      <c r="B98" s="46">
        <v>1988</v>
      </c>
      <c r="C98" s="417">
        <f t="shared" si="14"/>
        <v>66.8</v>
      </c>
      <c r="D98" s="417">
        <f t="shared" si="15"/>
        <v>69.400000000000006</v>
      </c>
    </row>
    <row r="99" spans="2:4" ht="13.5" thickBot="1" x14ac:dyDescent="0.25">
      <c r="B99" s="46">
        <v>1989</v>
      </c>
      <c r="C99" s="417">
        <f t="shared" si="14"/>
        <v>69.7</v>
      </c>
      <c r="D99" s="417">
        <f t="shared" si="15"/>
        <v>72.7</v>
      </c>
    </row>
    <row r="100" spans="2:4" ht="13.5" thickBot="1" x14ac:dyDescent="0.25">
      <c r="B100" s="46">
        <v>1990</v>
      </c>
      <c r="C100" s="417">
        <f t="shared" si="14"/>
        <v>72.400000000000006</v>
      </c>
      <c r="D100" s="417">
        <f t="shared" si="15"/>
        <v>75.099999999999994</v>
      </c>
    </row>
    <row r="101" spans="2:4" ht="13.5" thickBot="1" x14ac:dyDescent="0.25">
      <c r="B101" s="46">
        <v>1991</v>
      </c>
      <c r="C101" s="417">
        <f t="shared" si="14"/>
        <v>74.8</v>
      </c>
      <c r="D101" s="417">
        <f t="shared" si="15"/>
        <v>77.5</v>
      </c>
    </row>
    <row r="102" spans="2:4" ht="13.5" thickBot="1" x14ac:dyDescent="0.25">
      <c r="B102" s="46">
        <v>1992</v>
      </c>
      <c r="C102" s="417">
        <f t="shared" si="14"/>
        <v>76.3</v>
      </c>
      <c r="D102" s="417">
        <f t="shared" si="15"/>
        <v>78.400000000000006</v>
      </c>
    </row>
    <row r="103" spans="2:4" ht="13.5" thickBot="1" x14ac:dyDescent="0.25">
      <c r="B103" s="46">
        <v>1993</v>
      </c>
      <c r="C103" s="417">
        <f t="shared" si="14"/>
        <v>77.7</v>
      </c>
      <c r="D103" s="417">
        <f t="shared" si="15"/>
        <v>79.900000000000006</v>
      </c>
    </row>
    <row r="104" spans="2:4" ht="13.5" thickBot="1" x14ac:dyDescent="0.25">
      <c r="B104" s="46">
        <v>1994</v>
      </c>
      <c r="C104" s="417">
        <f t="shared" si="14"/>
        <v>79</v>
      </c>
      <c r="D104" s="417">
        <f t="shared" si="15"/>
        <v>81</v>
      </c>
    </row>
    <row r="105" spans="2:4" ht="13.5" thickBot="1" x14ac:dyDescent="0.25">
      <c r="B105" s="46">
        <v>1995</v>
      </c>
      <c r="C105" s="417">
        <f t="shared" si="14"/>
        <v>79.900000000000006</v>
      </c>
      <c r="D105" s="417">
        <f t="shared" si="15"/>
        <v>81.900000000000006</v>
      </c>
    </row>
    <row r="106" spans="2:4" ht="13.5" thickBot="1" x14ac:dyDescent="0.25">
      <c r="B106" s="46">
        <v>1996</v>
      </c>
      <c r="C106" s="417">
        <f t="shared" si="14"/>
        <v>80.8</v>
      </c>
      <c r="D106" s="417">
        <f t="shared" si="15"/>
        <v>82.6</v>
      </c>
    </row>
    <row r="107" spans="2:4" ht="13.5" thickBot="1" x14ac:dyDescent="0.25">
      <c r="B107" s="46">
        <v>1997</v>
      </c>
      <c r="C107" s="417">
        <f t="shared" si="14"/>
        <v>82</v>
      </c>
      <c r="D107" s="417">
        <f t="shared" si="15"/>
        <v>83.9</v>
      </c>
    </row>
    <row r="108" spans="2:4" ht="13.5" thickBot="1" x14ac:dyDescent="0.25">
      <c r="B108" s="46">
        <v>1998</v>
      </c>
      <c r="C108" s="417">
        <f t="shared" si="14"/>
        <v>83.2</v>
      </c>
      <c r="D108" s="417">
        <f t="shared" si="15"/>
        <v>85.3</v>
      </c>
    </row>
    <row r="109" spans="2:4" ht="13.5" thickBot="1" x14ac:dyDescent="0.25">
      <c r="B109" s="46">
        <v>1999</v>
      </c>
      <c r="C109" s="417">
        <f t="shared" si="14"/>
        <v>84.4</v>
      </c>
      <c r="D109" s="417">
        <f t="shared" si="15"/>
        <v>86.2</v>
      </c>
    </row>
    <row r="110" spans="2:4" ht="13.5" thickBot="1" x14ac:dyDescent="0.25">
      <c r="B110" s="46">
        <v>2000</v>
      </c>
      <c r="C110" s="417">
        <f t="shared" si="14"/>
        <v>86.5</v>
      </c>
      <c r="D110" s="417">
        <f t="shared" si="15"/>
        <v>88.2</v>
      </c>
    </row>
    <row r="111" spans="2:4" ht="13.5" thickBot="1" x14ac:dyDescent="0.25">
      <c r="B111" s="46">
        <v>2001</v>
      </c>
      <c r="C111" s="417">
        <f t="shared" si="14"/>
        <v>88.2</v>
      </c>
      <c r="D111" s="417">
        <f t="shared" si="15"/>
        <v>90</v>
      </c>
    </row>
    <row r="112" spans="2:4" ht="13.5" thickBot="1" x14ac:dyDescent="0.25">
      <c r="B112" s="46">
        <v>2002</v>
      </c>
      <c r="C112" s="417">
        <f t="shared" si="14"/>
        <v>90.2</v>
      </c>
      <c r="D112" s="417">
        <f t="shared" si="15"/>
        <v>91.9</v>
      </c>
    </row>
    <row r="113" spans="2:4" ht="13.5" thickBot="1" x14ac:dyDescent="0.25">
      <c r="B113" s="46">
        <v>2003</v>
      </c>
      <c r="C113" s="417">
        <f t="shared" si="14"/>
        <v>91.7</v>
      </c>
      <c r="D113" s="417">
        <f t="shared" si="15"/>
        <v>93.4</v>
      </c>
    </row>
    <row r="114" spans="2:4" ht="13.5" thickBot="1" x14ac:dyDescent="0.25">
      <c r="B114" s="46">
        <v>2004</v>
      </c>
      <c r="C114" s="417">
        <f t="shared" si="14"/>
        <v>93.4</v>
      </c>
      <c r="D114" s="417">
        <f t="shared" si="15"/>
        <v>95</v>
      </c>
    </row>
    <row r="115" spans="2:4" ht="13.5" thickBot="1" x14ac:dyDescent="0.25">
      <c r="B115" s="46">
        <v>2005</v>
      </c>
      <c r="C115" s="417">
        <f t="shared" si="14"/>
        <v>95.4</v>
      </c>
      <c r="D115" s="417">
        <f t="shared" si="15"/>
        <v>96.8</v>
      </c>
    </row>
    <row r="116" spans="2:4" ht="13.5" thickBot="1" x14ac:dyDescent="0.25">
      <c r="B116" s="46">
        <v>2006</v>
      </c>
      <c r="C116" s="417">
        <f t="shared" si="14"/>
        <v>97.7</v>
      </c>
      <c r="D116" s="417">
        <f t="shared" si="15"/>
        <v>98.3</v>
      </c>
    </row>
    <row r="117" spans="2:4" ht="13.5" thickBot="1" x14ac:dyDescent="0.25">
      <c r="B117" s="46">
        <v>2007</v>
      </c>
      <c r="C117" s="417">
        <f t="shared" si="14"/>
        <v>100</v>
      </c>
      <c r="D117" s="417">
        <f t="shared" si="15"/>
        <v>100</v>
      </c>
    </row>
    <row r="118" spans="2:4" ht="13.5" thickBot="1" x14ac:dyDescent="0.25">
      <c r="B118" s="46">
        <v>2008</v>
      </c>
      <c r="C118" s="417">
        <f t="shared" si="14"/>
        <v>102.5</v>
      </c>
      <c r="D118" s="417">
        <f t="shared" si="15"/>
        <v>102.2</v>
      </c>
    </row>
    <row r="119" spans="2:4" ht="13.5" thickBot="1" x14ac:dyDescent="0.25">
      <c r="B119" s="46">
        <v>2009</v>
      </c>
      <c r="C119" s="417">
        <f t="shared" si="14"/>
        <v>103.7</v>
      </c>
      <c r="D119" s="417">
        <f t="shared" si="15"/>
        <v>103.3</v>
      </c>
    </row>
    <row r="120" spans="2:4" ht="13.5" thickBot="1" x14ac:dyDescent="0.25">
      <c r="B120" s="46">
        <v>2010</v>
      </c>
      <c r="C120" s="417">
        <f t="shared" si="14"/>
        <v>104.8</v>
      </c>
      <c r="D120" s="417">
        <f t="shared" si="15"/>
        <v>104.5</v>
      </c>
    </row>
    <row r="121" spans="2:4" ht="13.5" thickBot="1" x14ac:dyDescent="0.25">
      <c r="B121" s="46">
        <v>2011</v>
      </c>
      <c r="C121" s="417">
        <f t="shared" si="14"/>
        <v>107.3</v>
      </c>
      <c r="D121" s="417">
        <f t="shared" si="15"/>
        <v>107</v>
      </c>
    </row>
    <row r="122" spans="2:4" ht="13.5" thickBot="1" x14ac:dyDescent="0.25">
      <c r="B122" s="46">
        <v>2012</v>
      </c>
      <c r="C122" s="417">
        <f t="shared" si="14"/>
        <v>109.1</v>
      </c>
      <c r="D122" s="417">
        <f t="shared" si="15"/>
        <v>108.7</v>
      </c>
    </row>
    <row r="123" spans="2:4" ht="13.5" thickBot="1" x14ac:dyDescent="0.25">
      <c r="B123" s="46">
        <v>2013</v>
      </c>
      <c r="C123" s="417">
        <f>AVERAGEIF($B$78:$AI$78,$B123,$B$79:$AI$79)</f>
        <v>111</v>
      </c>
      <c r="D123" s="417">
        <f>AVERAGEIF($B$78:$AI$78,$B123,$B$85:$AI$85)</f>
        <v>110.7</v>
      </c>
    </row>
    <row r="124" spans="2:4" ht="13.5" thickBot="1" x14ac:dyDescent="0.25">
      <c r="B124" s="46">
        <v>2014</v>
      </c>
      <c r="C124" s="417">
        <f t="shared" si="14"/>
        <v>113.4</v>
      </c>
      <c r="D124" s="417">
        <f t="shared" si="15"/>
        <v>113</v>
      </c>
    </row>
    <row r="129" spans="2:3" ht="15.75" x14ac:dyDescent="0.2">
      <c r="B129" s="370" t="s">
        <v>57</v>
      </c>
    </row>
    <row r="130" spans="2:3" x14ac:dyDescent="0.2">
      <c r="B130" s="371"/>
    </row>
    <row r="131" spans="2:3" x14ac:dyDescent="0.2">
      <c r="B131" s="53">
        <v>1</v>
      </c>
      <c r="C131" s="54" t="s">
        <v>321</v>
      </c>
    </row>
    <row r="132" spans="2:3" x14ac:dyDescent="0.2">
      <c r="B132" s="53">
        <v>2</v>
      </c>
      <c r="C132" s="54" t="s">
        <v>322</v>
      </c>
    </row>
    <row r="133" spans="2:3" x14ac:dyDescent="0.2">
      <c r="B133" s="53">
        <v>3</v>
      </c>
      <c r="C133" s="54" t="s">
        <v>323</v>
      </c>
    </row>
    <row r="135" spans="2:3" x14ac:dyDescent="0.2">
      <c r="B135" s="57" t="s">
        <v>320</v>
      </c>
    </row>
  </sheetData>
  <phoneticPr fontId="114" type="noConversion"/>
  <hyperlinks>
    <hyperlink ref="T62" r:id="rId1" display="http://www5.statcan.gc.ca/cansim/a03?searchTypeByValue=1&amp;lang=eng&amp;pattern=2810063"/>
  </hyperlinks>
  <pageMargins left="0.7" right="0.7" top="0.75" bottom="0.75" header="0.3" footer="0.3"/>
  <pageSetup scale="83" orientation="landscape" r:id="rId2"/>
  <headerFooter>
    <oddHeader>&amp;CFiled: 2016-10-26, EB-2016-0152
Exhibit L, Tab 11.1 Schedule 1 Staff-246</oddHeader>
  </headerFooter>
  <rowBreaks count="1" manualBreakCount="1">
    <brk id="67" max="16383" man="1"/>
  </rowBreaks>
  <colBreaks count="1" manualBreakCount="1">
    <brk id="36" max="134" man="1"/>
  </colBreaks>
  <drawing r:id="rId3"/>
  <extLst>
    <ext xmlns:mx="http://schemas.microsoft.com/office/mac/excel/2008/main" uri="{64002731-A6B0-56B0-2670-7721B7C09600}">
      <mx:PLV Mode="1"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showGridLines="0" view="pageLayout" workbookViewId="0">
      <selection activeCell="I31" sqref="I31"/>
    </sheetView>
  </sheetViews>
  <sheetFormatPr defaultColWidth="8.85546875" defaultRowHeight="12.75" x14ac:dyDescent="0.2"/>
  <cols>
    <col min="1" max="1" width="2.85546875" style="335" customWidth="1"/>
    <col min="2" max="2" width="16" style="335" customWidth="1"/>
    <col min="3" max="12" width="8.85546875" style="335"/>
    <col min="13" max="14" width="9.140625" style="335" customWidth="1"/>
    <col min="15" max="15" width="8.85546875" style="335"/>
    <col min="16" max="16" width="13.140625" style="335" bestFit="1" customWidth="1"/>
    <col min="17" max="16384" width="8.85546875" style="335"/>
  </cols>
  <sheetData>
    <row r="1" spans="2:28" ht="18" x14ac:dyDescent="0.25">
      <c r="B1" s="771" t="s">
        <v>279</v>
      </c>
      <c r="C1" s="772"/>
      <c r="D1" s="772"/>
      <c r="E1" s="772"/>
      <c r="F1" s="772"/>
      <c r="G1" s="772"/>
      <c r="H1" s="336"/>
      <c r="M1" s="775" t="s">
        <v>187</v>
      </c>
      <c r="N1" s="776"/>
      <c r="O1" s="776"/>
      <c r="P1" s="776"/>
      <c r="Q1" s="776"/>
      <c r="R1" s="776"/>
      <c r="S1" s="776"/>
      <c r="T1" s="776"/>
      <c r="U1" s="776"/>
      <c r="V1" s="776"/>
      <c r="W1" s="776"/>
      <c r="X1" s="776"/>
      <c r="Y1" s="776"/>
      <c r="Z1" s="776"/>
      <c r="AA1" s="776"/>
      <c r="AB1" s="776"/>
    </row>
    <row r="2" spans="2:28" ht="16.5" x14ac:dyDescent="0.25">
      <c r="B2" s="771" t="s">
        <v>280</v>
      </c>
      <c r="C2" s="772"/>
      <c r="D2" s="772"/>
      <c r="E2" s="772"/>
      <c r="F2" s="772"/>
      <c r="G2" s="772"/>
      <c r="H2" s="336"/>
      <c r="M2" s="777" t="s">
        <v>188</v>
      </c>
      <c r="N2" s="776"/>
      <c r="O2" s="776"/>
      <c r="P2" s="776"/>
      <c r="Q2" s="776"/>
      <c r="R2" s="776"/>
      <c r="S2" s="776"/>
      <c r="T2" s="776"/>
      <c r="U2" s="776"/>
      <c r="V2" s="776"/>
      <c r="W2" s="776"/>
      <c r="X2" s="776"/>
      <c r="Y2" s="776"/>
      <c r="Z2" s="776"/>
      <c r="AA2" s="776"/>
      <c r="AB2" s="776"/>
    </row>
    <row r="3" spans="2:28" ht="15" x14ac:dyDescent="0.25">
      <c r="B3" s="772"/>
      <c r="C3" s="772"/>
      <c r="D3" s="772"/>
      <c r="E3" s="772"/>
      <c r="F3" s="772"/>
      <c r="G3" s="772"/>
      <c r="H3" s="336"/>
      <c r="M3" s="776" t="s">
        <v>189</v>
      </c>
      <c r="N3" s="776"/>
      <c r="O3" s="776"/>
      <c r="P3" s="776"/>
      <c r="Q3" s="776"/>
      <c r="R3" s="776"/>
      <c r="S3" s="776"/>
      <c r="T3" s="776"/>
      <c r="U3" s="776"/>
      <c r="V3" s="776"/>
      <c r="W3" s="776"/>
      <c r="X3" s="776"/>
      <c r="Y3" s="776"/>
      <c r="Z3" s="776"/>
      <c r="AA3" s="776"/>
      <c r="AB3" s="776"/>
    </row>
    <row r="4" spans="2:28" ht="15" x14ac:dyDescent="0.25">
      <c r="B4" s="334" t="s">
        <v>281</v>
      </c>
      <c r="C4" s="344" t="s">
        <v>282</v>
      </c>
      <c r="D4" s="343"/>
      <c r="E4" s="343"/>
      <c r="F4" s="343"/>
      <c r="G4" s="343"/>
      <c r="H4" s="336"/>
      <c r="M4" s="776" t="s">
        <v>190</v>
      </c>
      <c r="N4" s="776"/>
      <c r="O4" s="776"/>
      <c r="P4" s="776"/>
      <c r="Q4" s="776"/>
      <c r="R4" s="776"/>
      <c r="S4" s="776"/>
      <c r="T4" s="776"/>
      <c r="U4" s="776"/>
      <c r="V4" s="776"/>
      <c r="W4" s="776"/>
      <c r="X4" s="776"/>
      <c r="Y4" s="776"/>
      <c r="Z4" s="776"/>
      <c r="AA4" s="776"/>
      <c r="AB4" s="776"/>
    </row>
    <row r="5" spans="2:28" ht="15" customHeight="1" x14ac:dyDescent="0.25">
      <c r="B5" s="334" t="s">
        <v>283</v>
      </c>
      <c r="C5" s="344" t="s">
        <v>284</v>
      </c>
      <c r="D5" s="343"/>
      <c r="E5" s="343"/>
      <c r="F5" s="343"/>
      <c r="G5" s="343"/>
      <c r="H5" s="336"/>
      <c r="M5" s="337" t="s">
        <v>191</v>
      </c>
      <c r="N5" s="337"/>
      <c r="O5" s="337"/>
      <c r="P5" s="337" t="s">
        <v>192</v>
      </c>
      <c r="Q5" s="338" t="s">
        <v>193</v>
      </c>
      <c r="R5" s="337"/>
      <c r="S5" s="337"/>
      <c r="T5" s="337"/>
      <c r="U5" s="337"/>
      <c r="V5" s="337"/>
      <c r="W5" s="337"/>
      <c r="X5" s="337"/>
      <c r="Y5" s="337"/>
      <c r="Z5" s="337"/>
      <c r="AA5" s="337"/>
      <c r="AB5" s="337"/>
    </row>
    <row r="6" spans="2:28" ht="15" x14ac:dyDescent="0.25">
      <c r="B6" s="334" t="s">
        <v>285</v>
      </c>
      <c r="C6" s="344" t="s">
        <v>286</v>
      </c>
      <c r="D6" s="343"/>
      <c r="E6" s="343"/>
      <c r="F6" s="343"/>
      <c r="G6" s="343"/>
      <c r="H6" s="336"/>
    </row>
    <row r="7" spans="2:28" ht="15" x14ac:dyDescent="0.25">
      <c r="B7" s="334" t="s">
        <v>287</v>
      </c>
      <c r="C7" s="344" t="s">
        <v>288</v>
      </c>
      <c r="D7" s="343"/>
      <c r="E7" s="343"/>
      <c r="F7" s="343"/>
      <c r="G7" s="343"/>
      <c r="H7" s="336"/>
    </row>
    <row r="8" spans="2:28" ht="15" x14ac:dyDescent="0.25">
      <c r="B8" s="334" t="s">
        <v>289</v>
      </c>
      <c r="C8" s="344" t="s">
        <v>290</v>
      </c>
      <c r="D8" s="343"/>
      <c r="E8" s="343"/>
      <c r="F8" s="343"/>
      <c r="G8" s="343"/>
      <c r="H8" s="336"/>
    </row>
    <row r="9" spans="2:28" ht="15" x14ac:dyDescent="0.25">
      <c r="B9" s="334" t="s">
        <v>291</v>
      </c>
      <c r="C9" s="344" t="s">
        <v>101</v>
      </c>
      <c r="D9" s="343"/>
      <c r="E9" s="343"/>
      <c r="F9" s="343"/>
      <c r="G9" s="343"/>
      <c r="H9" s="336"/>
    </row>
    <row r="10" spans="2:28" ht="15" x14ac:dyDescent="0.25">
      <c r="B10" s="334" t="s">
        <v>292</v>
      </c>
      <c r="C10" s="344" t="s">
        <v>290</v>
      </c>
      <c r="D10" s="343"/>
      <c r="E10" s="343"/>
      <c r="F10" s="343"/>
      <c r="G10" s="343"/>
      <c r="H10" s="336"/>
    </row>
    <row r="11" spans="2:28" ht="15" x14ac:dyDescent="0.25">
      <c r="B11" s="334" t="s">
        <v>293</v>
      </c>
      <c r="C11" s="344" t="s">
        <v>294</v>
      </c>
      <c r="D11" s="343"/>
      <c r="E11" s="343"/>
      <c r="F11" s="343"/>
      <c r="G11" s="343"/>
      <c r="H11" s="336"/>
    </row>
    <row r="12" spans="2:28" ht="15" x14ac:dyDescent="0.25">
      <c r="B12" s="334" t="s">
        <v>295</v>
      </c>
      <c r="C12" s="344" t="s">
        <v>296</v>
      </c>
      <c r="D12" s="343"/>
      <c r="E12" s="343"/>
      <c r="F12" s="343"/>
      <c r="G12" s="343"/>
      <c r="H12" s="336"/>
    </row>
    <row r="13" spans="2:28" ht="15" x14ac:dyDescent="0.25">
      <c r="B13" s="334" t="s">
        <v>297</v>
      </c>
      <c r="C13" s="344" t="s">
        <v>298</v>
      </c>
      <c r="D13" s="343"/>
      <c r="E13" s="343"/>
      <c r="F13" s="343"/>
      <c r="G13" s="343"/>
      <c r="H13" s="336"/>
    </row>
    <row r="14" spans="2:28" ht="15.75" thickBot="1" x14ac:dyDescent="0.3">
      <c r="B14" s="334" t="s">
        <v>299</v>
      </c>
      <c r="C14" s="339" t="s">
        <v>278</v>
      </c>
      <c r="D14" s="336"/>
      <c r="E14" s="336"/>
      <c r="F14" s="336"/>
      <c r="G14" s="336"/>
      <c r="H14" s="336"/>
    </row>
    <row r="15" spans="2:28" ht="15.75" customHeight="1" thickBot="1" x14ac:dyDescent="0.3">
      <c r="B15" s="340"/>
      <c r="C15" s="336"/>
      <c r="D15" s="336"/>
      <c r="E15" s="336"/>
      <c r="F15" s="336"/>
      <c r="G15" s="336"/>
      <c r="H15" s="336"/>
      <c r="I15" s="336"/>
      <c r="M15" s="773" t="s">
        <v>273</v>
      </c>
      <c r="N15" s="774"/>
      <c r="O15"/>
      <c r="P15"/>
      <c r="R15" s="337"/>
      <c r="S15" s="337"/>
      <c r="T15" s="337"/>
      <c r="U15" s="337"/>
      <c r="V15" s="337"/>
      <c r="W15" s="337"/>
      <c r="X15" s="337"/>
      <c r="Y15" s="337"/>
      <c r="Z15" s="337"/>
      <c r="AA15" s="337"/>
      <c r="AB15" s="337"/>
    </row>
    <row r="16" spans="2:28" s="350" customFormat="1" ht="15.75" thickBot="1" x14ac:dyDescent="0.3">
      <c r="B16" s="333" t="s">
        <v>4</v>
      </c>
      <c r="C16" s="333" t="s">
        <v>178</v>
      </c>
      <c r="D16" s="333" t="s">
        <v>179</v>
      </c>
      <c r="E16" s="333" t="s">
        <v>180</v>
      </c>
      <c r="F16" s="333" t="s">
        <v>181</v>
      </c>
      <c r="G16" s="333" t="s">
        <v>182</v>
      </c>
      <c r="H16" s="351" t="s">
        <v>17</v>
      </c>
      <c r="I16" s="352"/>
      <c r="M16" s="341" t="s">
        <v>194</v>
      </c>
      <c r="N16" s="388">
        <v>81.891000000000005</v>
      </c>
      <c r="O16"/>
      <c r="P16"/>
    </row>
    <row r="17" spans="2:16" ht="16.5" thickTop="1" thickBot="1" x14ac:dyDescent="0.3">
      <c r="B17" s="334">
        <v>2001</v>
      </c>
      <c r="C17" s="386">
        <v>87</v>
      </c>
      <c r="D17" s="386">
        <v>88.1</v>
      </c>
      <c r="E17" s="386">
        <v>88.3</v>
      </c>
      <c r="F17" s="386">
        <v>89.1</v>
      </c>
      <c r="G17" s="345">
        <f>AVERAGE(C17:F17)</f>
        <v>88.125</v>
      </c>
      <c r="H17" s="336"/>
      <c r="I17" s="336"/>
      <c r="M17" s="341" t="s">
        <v>195</v>
      </c>
      <c r="N17" s="388">
        <v>83.766000000000005</v>
      </c>
      <c r="O17"/>
      <c r="P17"/>
    </row>
    <row r="18" spans="2:16" ht="15.75" thickBot="1" x14ac:dyDescent="0.3">
      <c r="B18" s="334">
        <v>2002</v>
      </c>
      <c r="C18" s="386">
        <v>89.8</v>
      </c>
      <c r="D18" s="386">
        <v>91.4</v>
      </c>
      <c r="E18" s="386">
        <v>91.8</v>
      </c>
      <c r="F18" s="386">
        <v>92.2</v>
      </c>
      <c r="G18" s="345">
        <f t="shared" ref="G18:G31" si="0">AVERAGE(C18:F18)</f>
        <v>91.3</v>
      </c>
      <c r="H18" s="347">
        <f>LN(G18/G17)</f>
        <v>3.5394526468489958E-2</v>
      </c>
      <c r="I18" s="336"/>
      <c r="M18" s="341" t="s">
        <v>196</v>
      </c>
      <c r="N18" s="388">
        <v>85.054000000000002</v>
      </c>
      <c r="O18"/>
      <c r="P18"/>
    </row>
    <row r="19" spans="2:16" ht="15.75" thickBot="1" x14ac:dyDescent="0.3">
      <c r="B19" s="334">
        <v>2003</v>
      </c>
      <c r="C19" s="386">
        <v>93</v>
      </c>
      <c r="D19" s="386">
        <v>93.6</v>
      </c>
      <c r="E19" s="386">
        <v>94</v>
      </c>
      <c r="F19" s="386">
        <v>94.5</v>
      </c>
      <c r="G19" s="345">
        <f t="shared" si="0"/>
        <v>93.775000000000006</v>
      </c>
      <c r="H19" s="347">
        <f t="shared" ref="H19:H28" si="1">LN(G19/G18)</f>
        <v>2.6747508367028359E-2</v>
      </c>
      <c r="I19" s="336"/>
      <c r="M19" s="341" t="s">
        <v>197</v>
      </c>
      <c r="N19" s="388">
        <v>86.754000000000005</v>
      </c>
      <c r="O19"/>
      <c r="P19"/>
    </row>
    <row r="20" spans="2:16" ht="15.75" thickBot="1" x14ac:dyDescent="0.3">
      <c r="B20" s="334">
        <v>2004</v>
      </c>
      <c r="C20" s="386">
        <v>95.4</v>
      </c>
      <c r="D20" s="386">
        <v>96.6</v>
      </c>
      <c r="E20" s="386">
        <v>97.1</v>
      </c>
      <c r="F20" s="386">
        <v>97.4</v>
      </c>
      <c r="G20" s="345">
        <f t="shared" si="0"/>
        <v>96.625</v>
      </c>
      <c r="H20" s="347">
        <f t="shared" si="1"/>
        <v>2.9939210939635016E-2</v>
      </c>
      <c r="I20" s="336"/>
      <c r="M20" s="341" t="s">
        <v>198</v>
      </c>
      <c r="N20" s="388">
        <v>89.132000000000005</v>
      </c>
      <c r="O20"/>
      <c r="P20"/>
    </row>
    <row r="21" spans="2:16" ht="15.75" thickBot="1" x14ac:dyDescent="0.3">
      <c r="B21" s="334">
        <v>2005</v>
      </c>
      <c r="C21" s="386">
        <v>98.4</v>
      </c>
      <c r="D21" s="386">
        <v>99.2</v>
      </c>
      <c r="E21" s="386">
        <v>99.5</v>
      </c>
      <c r="F21" s="386">
        <v>100</v>
      </c>
      <c r="G21" s="345">
        <f t="shared" si="0"/>
        <v>99.275000000000006</v>
      </c>
      <c r="H21" s="347">
        <f t="shared" si="1"/>
        <v>2.7056270109729181E-2</v>
      </c>
      <c r="I21" s="336"/>
      <c r="M21" s="341" t="s">
        <v>199</v>
      </c>
      <c r="N21" s="388">
        <v>91.991</v>
      </c>
      <c r="O21"/>
      <c r="P21"/>
    </row>
    <row r="22" spans="2:16" ht="15.75" thickBot="1" x14ac:dyDescent="0.3">
      <c r="B22" s="334">
        <v>2006</v>
      </c>
      <c r="C22" s="386">
        <v>100.8</v>
      </c>
      <c r="D22" s="386">
        <v>102.1</v>
      </c>
      <c r="E22" s="386">
        <v>103</v>
      </c>
      <c r="F22" s="386">
        <v>103.5</v>
      </c>
      <c r="G22" s="345">
        <f t="shared" si="0"/>
        <v>102.35</v>
      </c>
      <c r="H22" s="347">
        <f t="shared" si="1"/>
        <v>3.0504535089983187E-2</v>
      </c>
      <c r="I22" s="336"/>
      <c r="M22" s="341" t="s">
        <v>200</v>
      </c>
      <c r="N22" s="388">
        <v>94.817999999999998</v>
      </c>
      <c r="O22"/>
      <c r="P22"/>
    </row>
    <row r="23" spans="2:16" ht="15.75" thickBot="1" x14ac:dyDescent="0.3">
      <c r="B23" s="334">
        <v>2007</v>
      </c>
      <c r="C23" s="386">
        <v>104.3</v>
      </c>
      <c r="D23" s="386">
        <v>105.5</v>
      </c>
      <c r="E23" s="386">
        <v>106.1</v>
      </c>
      <c r="F23" s="386">
        <v>106.8</v>
      </c>
      <c r="G23" s="345">
        <f t="shared" si="0"/>
        <v>105.675</v>
      </c>
      <c r="H23" s="347">
        <f t="shared" si="1"/>
        <v>3.1970034345555003E-2</v>
      </c>
      <c r="I23" s="336"/>
      <c r="M23" s="341" t="s">
        <v>201</v>
      </c>
      <c r="N23" s="388">
        <v>97.334999999999994</v>
      </c>
      <c r="O23"/>
      <c r="P23"/>
    </row>
    <row r="24" spans="2:16" ht="15.75" thickBot="1" x14ac:dyDescent="0.3">
      <c r="B24" s="334">
        <v>2008</v>
      </c>
      <c r="C24" s="386">
        <v>108</v>
      </c>
      <c r="D24" s="386">
        <v>109.3</v>
      </c>
      <c r="E24" s="386">
        <v>109.3</v>
      </c>
      <c r="F24" s="386">
        <v>109.6</v>
      </c>
      <c r="G24" s="345">
        <f t="shared" si="0"/>
        <v>109.05000000000001</v>
      </c>
      <c r="H24" s="347">
        <f t="shared" si="1"/>
        <v>3.1438146194784536E-2</v>
      </c>
      <c r="I24" s="336"/>
      <c r="M24" s="341" t="s">
        <v>202</v>
      </c>
      <c r="N24" s="388">
        <v>99.236000000000004</v>
      </c>
      <c r="O24"/>
      <c r="P24"/>
    </row>
    <row r="25" spans="2:16" ht="15.75" thickBot="1" x14ac:dyDescent="0.3">
      <c r="B25" s="334">
        <v>2009</v>
      </c>
      <c r="C25" s="386">
        <v>111</v>
      </c>
      <c r="D25" s="386">
        <v>112</v>
      </c>
      <c r="E25" s="386">
        <v>112.2</v>
      </c>
      <c r="F25" s="386">
        <v>113.3</v>
      </c>
      <c r="G25" s="345">
        <f t="shared" si="0"/>
        <v>112.125</v>
      </c>
      <c r="H25" s="347">
        <f t="shared" si="1"/>
        <v>2.7807827731321969E-2</v>
      </c>
      <c r="I25" s="336"/>
      <c r="M25" s="341" t="s">
        <v>203</v>
      </c>
      <c r="N25" s="388">
        <v>100</v>
      </c>
      <c r="O25"/>
      <c r="P25"/>
    </row>
    <row r="26" spans="2:16" ht="15.75" thickBot="1" x14ac:dyDescent="0.3">
      <c r="B26" s="334">
        <v>2010</v>
      </c>
      <c r="C26" s="386">
        <v>113.9</v>
      </c>
      <c r="D26" s="386">
        <v>114.7</v>
      </c>
      <c r="E26" s="386">
        <v>115.4</v>
      </c>
      <c r="F26" s="386">
        <v>115.6</v>
      </c>
      <c r="G26" s="345">
        <f t="shared" si="0"/>
        <v>114.9</v>
      </c>
      <c r="H26" s="347">
        <f t="shared" si="1"/>
        <v>2.4447864475749835E-2</v>
      </c>
      <c r="I26" s="336"/>
      <c r="M26" s="341" t="s">
        <v>204</v>
      </c>
      <c r="N26" s="388">
        <v>101.211</v>
      </c>
      <c r="O26"/>
      <c r="P26"/>
    </row>
    <row r="27" spans="2:16" ht="15.75" thickBot="1" x14ac:dyDescent="0.3">
      <c r="B27" s="334">
        <v>2011</v>
      </c>
      <c r="C27" s="386">
        <v>116.9</v>
      </c>
      <c r="D27" s="386">
        <v>118.1</v>
      </c>
      <c r="E27" s="386">
        <v>118.5</v>
      </c>
      <c r="F27" s="386">
        <v>118.8</v>
      </c>
      <c r="G27" s="345">
        <f t="shared" si="0"/>
        <v>118.075</v>
      </c>
      <c r="H27" s="347">
        <f t="shared" si="1"/>
        <v>2.725783092747083E-2</v>
      </c>
      <c r="I27" s="336"/>
      <c r="M27" s="341" t="s">
        <v>205</v>
      </c>
      <c r="N27" s="388">
        <v>103.199</v>
      </c>
      <c r="O27"/>
      <c r="P27"/>
    </row>
    <row r="28" spans="2:16" ht="15.75" thickBot="1" x14ac:dyDescent="0.3">
      <c r="B28" s="334">
        <v>2012</v>
      </c>
      <c r="C28" s="386">
        <v>119.6</v>
      </c>
      <c r="D28" s="386">
        <v>121.3</v>
      </c>
      <c r="E28" s="386">
        <v>121.3</v>
      </c>
      <c r="F28" s="386">
        <v>121.7</v>
      </c>
      <c r="G28" s="345">
        <f t="shared" si="0"/>
        <v>120.97499999999999</v>
      </c>
      <c r="H28" s="347">
        <f t="shared" si="1"/>
        <v>2.4263896897201379E-2</v>
      </c>
      <c r="I28" s="336"/>
      <c r="M28" s="341" t="s">
        <v>206</v>
      </c>
      <c r="N28" s="388">
        <v>105.002</v>
      </c>
      <c r="O28"/>
      <c r="P28"/>
    </row>
    <row r="29" spans="2:16" ht="15.75" thickBot="1" x14ac:dyDescent="0.3">
      <c r="B29" s="334">
        <v>2013</v>
      </c>
      <c r="C29" s="386">
        <v>123</v>
      </c>
      <c r="D29" s="386">
        <v>124.2</v>
      </c>
      <c r="E29" s="386">
        <v>124.9</v>
      </c>
      <c r="F29" s="386">
        <v>125.2</v>
      </c>
      <c r="G29" s="345">
        <f t="shared" si="0"/>
        <v>124.325</v>
      </c>
      <c r="H29" s="347">
        <f>LN(G29/G28)</f>
        <v>2.7315191921419985E-2</v>
      </c>
      <c r="I29" s="336"/>
      <c r="M29" s="341" t="s">
        <v>207</v>
      </c>
      <c r="N29" s="388">
        <v>106.58799999999999</v>
      </c>
      <c r="O29"/>
      <c r="P29"/>
    </row>
    <row r="30" spans="2:16" ht="15.75" thickBot="1" x14ac:dyDescent="0.3">
      <c r="B30" s="334">
        <v>2014</v>
      </c>
      <c r="C30" s="386">
        <v>126.6</v>
      </c>
      <c r="D30" s="386">
        <v>127.6</v>
      </c>
      <c r="E30" s="386">
        <v>128.30000000000001</v>
      </c>
      <c r="F30" s="386">
        <v>128.30000000000001</v>
      </c>
      <c r="G30" s="345">
        <f t="shared" si="0"/>
        <v>127.7</v>
      </c>
      <c r="H30" s="347">
        <f>LN(G30/G29)</f>
        <v>2.6784658437691435E-2</v>
      </c>
      <c r="I30" s="342"/>
      <c r="M30" s="341" t="s">
        <v>277</v>
      </c>
      <c r="N30" s="389">
        <v>108.68600000000001</v>
      </c>
      <c r="O30"/>
      <c r="P30"/>
    </row>
    <row r="31" spans="2:16" ht="15" x14ac:dyDescent="0.25">
      <c r="B31" s="334">
        <v>2015</v>
      </c>
      <c r="C31" s="386">
        <v>129.9</v>
      </c>
      <c r="D31" s="386">
        <v>130.80000000000001</v>
      </c>
      <c r="E31" s="386">
        <v>131.4</v>
      </c>
      <c r="F31" s="387"/>
      <c r="G31" s="346">
        <f t="shared" si="0"/>
        <v>130.70000000000002</v>
      </c>
      <c r="H31" s="348"/>
    </row>
    <row r="32" spans="2:16" ht="15" x14ac:dyDescent="0.25">
      <c r="H32" s="349">
        <f>AVERAGE(H18:H30)</f>
        <v>2.8532884762004666E-2</v>
      </c>
    </row>
  </sheetData>
  <mergeCells count="8">
    <mergeCell ref="B1:G1"/>
    <mergeCell ref="B2:G2"/>
    <mergeCell ref="B3:G3"/>
    <mergeCell ref="M15:N15"/>
    <mergeCell ref="M1:AB1"/>
    <mergeCell ref="M2:AB2"/>
    <mergeCell ref="M3:AB3"/>
    <mergeCell ref="M4:AB4"/>
  </mergeCells>
  <phoneticPr fontId="114" type="noConversion"/>
  <hyperlinks>
    <hyperlink ref="Q5" r:id="rId1" location="reqid=9&amp;step=3&amp;isuri=1&amp;910=x&amp;911=0&amp;903=13&amp;904=2000&amp;905=2013&amp;906=a"/>
    <hyperlink ref="C14" r:id="rId2"/>
  </hyperlinks>
  <pageMargins left="0.7" right="0.7" top="0.75" bottom="0.75" header="0.3" footer="0.3"/>
  <pageSetup scale="83" orientation="portrait" r:id="rId3"/>
  <headerFooter>
    <oddHeader>&amp;CFiled: 2016-10-26, EB-2016-0152
Exhibit L, Tab 11.1 Schedule 1 Staff-246</oddHeader>
  </headerFooter>
  <ignoredErrors>
    <ignoredError sqref="M16:M30" numberStoredAsText="1"/>
  </ignoredError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Table 6 1HS</vt:lpstr>
      <vt:lpstr>OPG TFP 1HS</vt:lpstr>
      <vt:lpstr>end of tables</vt:lpstr>
      <vt:lpstr>Table 1</vt:lpstr>
      <vt:lpstr>LEI Variations</vt:lpstr>
      <vt:lpstr>OPG TFP</vt:lpstr>
      <vt:lpstr>Benchmark Year Price</vt:lpstr>
      <vt:lpstr>Depreciation Rate</vt:lpstr>
      <vt:lpstr>Age Profile</vt:lpstr>
      <vt:lpstr>Reconcile MWH</vt:lpstr>
      <vt:lpstr>Yearbook links</vt:lpstr>
      <vt:lpstr>gdpipi fdd</vt:lpstr>
      <vt:lpstr>GDP IPD Canada</vt:lpstr>
      <vt:lpstr>TFP_Calcs</vt:lpstr>
      <vt:lpstr>TFP_dataset</vt:lpstr>
      <vt:lpstr>End PEG work and modifications</vt:lpstr>
      <vt:lpstr>Cover sheet</vt:lpstr>
      <vt:lpstr>READ_ME</vt:lpstr>
      <vt:lpstr>graphs</vt:lpstr>
      <vt:lpstr>OPG hydro peers</vt:lpstr>
      <vt:lpstr>NA comb O&amp;M price indexes</vt:lpstr>
      <vt:lpstr>Can O&amp;M price indexes</vt:lpstr>
      <vt:lpstr>US O&amp;M price indexes</vt:lpstr>
      <vt:lpstr>EUCG L share</vt:lpstr>
      <vt:lpstr>StatsCan CANSIM tables</vt:lpstr>
      <vt:lpstr>US BLS &amp; BEA tables</vt:lpstr>
      <vt:lpstr>'Cover sheet'!Print_Area</vt:lpstr>
      <vt:lpstr>READ_ME!Print_Area</vt:lpstr>
      <vt:lpstr>TFP_Calcs!Print_Area</vt:lpstr>
      <vt:lpstr>TFP_dataset!Print_Area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dc:creator>
  <cp:lastModifiedBy>Dave Hovde</cp:lastModifiedBy>
  <cp:lastPrinted>2017-01-12T22:01:15Z</cp:lastPrinted>
  <dcterms:created xsi:type="dcterms:W3CDTF">2014-02-27T01:32:42Z</dcterms:created>
  <dcterms:modified xsi:type="dcterms:W3CDTF">2017-02-01T17:20:16Z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{7686A902-D4B8-4B31-B396-3382FEC61728}</vt:lpwstr>
  </property>
</Properties>
</file>