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14355" windowHeight="7575"/>
  </bookViews>
  <sheets>
    <sheet name="Summary Sheet" sheetId="12" r:id="rId1"/>
    <sheet name="IESO Annual Cost" sheetId="10" r:id="rId2"/>
    <sheet name="Embedded Costs" sheetId="9" r:id="rId3"/>
    <sheet name="HONI TX" sheetId="11" r:id="rId4"/>
    <sheet name="Remaining Cx Dx Revenue" sheetId="13" r:id="rId5"/>
    <sheet name="Debt Retirement and SSA" sheetId="14" r:id="rId6"/>
    <sheet name="HONI Tx Charges on HONI Dx" sheetId="16" r:id="rId7"/>
  </sheets>
  <calcPr calcId="145621"/>
</workbook>
</file>

<file path=xl/calcChain.xml><?xml version="1.0" encoding="utf-8"?>
<calcChain xmlns="http://schemas.openxmlformats.org/spreadsheetml/2006/main">
  <c r="C25" i="9" l="1"/>
  <c r="C24" i="10"/>
  <c r="D11" i="12" l="1"/>
  <c r="D29" i="12"/>
  <c r="D46" i="12" l="1"/>
  <c r="D47" i="12" s="1"/>
  <c r="C46" i="12"/>
  <c r="C47" i="12" s="1"/>
  <c r="D15" i="13"/>
  <c r="D13" i="13"/>
  <c r="D12" i="13"/>
  <c r="C7" i="9"/>
  <c r="C8" i="9" s="1"/>
  <c r="D22" i="9" s="1"/>
  <c r="D4" i="9" l="1"/>
  <c r="D5" i="9" s="1"/>
  <c r="C25" i="12"/>
  <c r="D21" i="9"/>
  <c r="C9" i="9"/>
  <c r="D23" i="9" s="1"/>
  <c r="D24" i="9" s="1"/>
  <c r="D6" i="9" l="1"/>
  <c r="D25" i="12"/>
  <c r="D15" i="11" l="1"/>
  <c r="D20" i="12"/>
  <c r="C20" i="12"/>
  <c r="D4" i="11"/>
  <c r="D5" i="11"/>
  <c r="D6" i="16"/>
  <c r="E6" i="16" s="1"/>
  <c r="D7" i="16"/>
  <c r="E7" i="16" s="1"/>
  <c r="D5" i="16"/>
  <c r="E5" i="16" s="1"/>
  <c r="D10" i="10"/>
  <c r="C10" i="10"/>
  <c r="D3" i="11" l="1"/>
  <c r="D6" i="11" s="1"/>
  <c r="D8" i="16"/>
  <c r="D15" i="12" l="1"/>
  <c r="E8" i="16"/>
  <c r="E9" i="16" s="1"/>
  <c r="D9" i="16"/>
  <c r="D22" i="12"/>
  <c r="D21" i="12"/>
  <c r="C15" i="13"/>
  <c r="C15" i="9"/>
  <c r="C18" i="9" s="1"/>
  <c r="C19" i="9" s="1"/>
  <c r="C24" i="9" s="1"/>
  <c r="C22" i="12"/>
  <c r="C21" i="12"/>
  <c r="C15" i="14"/>
  <c r="D14" i="14"/>
  <c r="C14" i="14"/>
  <c r="D12" i="14"/>
  <c r="D13" i="14" s="1"/>
  <c r="C12" i="14"/>
  <c r="C13" i="14" s="1"/>
  <c r="D5" i="14"/>
  <c r="D6" i="14" s="1"/>
  <c r="D7" i="14" s="1"/>
  <c r="D9" i="14" s="1"/>
  <c r="C5" i="14"/>
  <c r="C6" i="14" s="1"/>
  <c r="C7" i="14" s="1"/>
  <c r="C9" i="14" s="1"/>
  <c r="D14" i="13"/>
  <c r="C14" i="13"/>
  <c r="C32" i="12"/>
  <c r="C11" i="12"/>
  <c r="D12" i="12"/>
  <c r="C12" i="12"/>
  <c r="C18" i="11"/>
  <c r="D16" i="11"/>
  <c r="D17" i="11" s="1"/>
  <c r="D18" i="11" s="1"/>
  <c r="D11" i="9"/>
  <c r="C11" i="9"/>
  <c r="D21" i="10"/>
  <c r="D22" i="10" s="1"/>
  <c r="D23" i="10" s="1"/>
  <c r="D24" i="10" s="1"/>
  <c r="C16" i="10"/>
  <c r="D11" i="10"/>
  <c r="D12" i="10" s="1"/>
  <c r="C11" i="10"/>
  <c r="C12" i="10" s="1"/>
  <c r="C24" i="12" l="1"/>
  <c r="D24" i="12"/>
  <c r="D28" i="12" s="1"/>
  <c r="D26" i="12"/>
  <c r="D31" i="12"/>
  <c r="C23" i="12"/>
  <c r="D23" i="12"/>
  <c r="D27" i="12"/>
  <c r="C17" i="12"/>
  <c r="C19" i="12" s="1"/>
  <c r="D17" i="12"/>
  <c r="D19" i="12" s="1"/>
  <c r="C26" i="12"/>
  <c r="D15" i="14"/>
  <c r="D7" i="11"/>
  <c r="D25" i="9"/>
  <c r="C21" i="10"/>
  <c r="C22" i="10" s="1"/>
  <c r="C23" i="10" s="1"/>
  <c r="D33" i="12" l="1"/>
  <c r="D35" i="12" s="1"/>
  <c r="C34" i="12"/>
  <c r="C27" i="12"/>
  <c r="C28" i="12"/>
  <c r="C33" i="12" s="1"/>
  <c r="C35" i="12" s="1"/>
  <c r="D8" i="11"/>
  <c r="D30" i="12"/>
  <c r="C36" i="12" l="1"/>
  <c r="C37" i="12" s="1"/>
  <c r="D32" i="12"/>
  <c r="D34" i="12"/>
  <c r="D36" i="12" s="1"/>
  <c r="D37" i="12" s="1"/>
</calcChain>
</file>

<file path=xl/sharedStrings.xml><?xml version="1.0" encoding="utf-8"?>
<sst xmlns="http://schemas.openxmlformats.org/spreadsheetml/2006/main" count="285" uniqueCount="166">
  <si>
    <t>Common ST - Distribution Volumetric</t>
  </si>
  <si>
    <t>Service Charge</t>
  </si>
  <si>
    <t>Cost Item</t>
  </si>
  <si>
    <t>E.L.K.</t>
  </si>
  <si>
    <t>Hydro One</t>
  </si>
  <si>
    <t>Non-contestable work</t>
  </si>
  <si>
    <t>Contestable work</t>
  </si>
  <si>
    <t>Not required</t>
  </si>
  <si>
    <t>Supplied by Sellick</t>
  </si>
  <si>
    <t>Pole relocation cost (already incurred)</t>
  </si>
  <si>
    <t>Total</t>
  </si>
  <si>
    <t>Civil works</t>
  </si>
  <si>
    <t>Capital Contribution</t>
  </si>
  <si>
    <t>Distributor Serving Sellick</t>
  </si>
  <si>
    <t>One Time Connection Costs</t>
  </si>
  <si>
    <t>Electricity</t>
  </si>
  <si>
    <t>Global Adjustment</t>
  </si>
  <si>
    <t>Global Adjustment Rate Rider</t>
  </si>
  <si>
    <t>Meter Charge</t>
  </si>
  <si>
    <t>Rate Rider: Disposition of Variance Wholesale Market Service</t>
  </si>
  <si>
    <t>Transmission Line Connection</t>
  </si>
  <si>
    <t>Transmission Transformation Connection</t>
  </si>
  <si>
    <t>Ontario Electricity Support Program</t>
  </si>
  <si>
    <t>Standard Supply Administration</t>
  </si>
  <si>
    <t>Debt Retirement</t>
  </si>
  <si>
    <t>HST</t>
  </si>
  <si>
    <t>Total One Time Connection Costs</t>
  </si>
  <si>
    <t>Network Service Rate</t>
  </si>
  <si>
    <t>Line Connection Service Rate</t>
  </si>
  <si>
    <t>Transformation Connection Service Rate</t>
  </si>
  <si>
    <t>Monthly</t>
  </si>
  <si>
    <t>Annual</t>
  </si>
  <si>
    <t>Rate</t>
  </si>
  <si>
    <t>Monthly IESO Electricity Charges</t>
  </si>
  <si>
    <t>Monthly IESO Regulatory Charges</t>
  </si>
  <si>
    <t xml:space="preserve">Wholesale Market Service </t>
  </si>
  <si>
    <t>Rural and Remote Market Protection</t>
  </si>
  <si>
    <t>Total Monthly IESO Charges</t>
  </si>
  <si>
    <t>Total Annual IESO Charges</t>
  </si>
  <si>
    <t>Total Monthly HST on IESO Charges</t>
  </si>
  <si>
    <t>Monthly Hydro One Transmission Line Connection Service Charges</t>
  </si>
  <si>
    <t>Monthly Hydro One Transformation Connection Charges</t>
  </si>
  <si>
    <t>Monthly Hydro One Transmission Network Service Charges</t>
  </si>
  <si>
    <t>Total Monthly Hydro One Transmission Charges</t>
  </si>
  <si>
    <t>Total Annual Hydro One Transmission Charges</t>
  </si>
  <si>
    <t>Total HST on Hydro One Transmission Charges</t>
  </si>
  <si>
    <t>Offsetting Revenues</t>
  </si>
  <si>
    <t>$124,568.05</t>
  </si>
  <si>
    <t>Monthly Incremental Embedded Distributor Class Delivery Charge from ELK to H1</t>
  </si>
  <si>
    <t>Annual Incremental Embedded Distributor Class Charge from ELK to H1</t>
  </si>
  <si>
    <t>Monthly Incremental ST Customer Class Delivery Charge from H1 to ELK</t>
  </si>
  <si>
    <t>HST on Incremental ST Customer Class Delivery Charge from H1 to ELK</t>
  </si>
  <si>
    <t>Monthly HST on Incremental Embedded Distributor Class Delivery Charge from ELK to H1</t>
  </si>
  <si>
    <t>Monthly HST on Incremental ST Customer Class Delivery Charge from H1 to ELK</t>
  </si>
  <si>
    <t>Annual Incremental ST Customer Class Charge from H1 to ELK</t>
  </si>
  <si>
    <t>OffSetting Revenues Source: Monthly Sellick Bill</t>
  </si>
  <si>
    <t>HST Electricity and Regulatory Charges</t>
  </si>
  <si>
    <t>Total Monthly Revenue</t>
  </si>
  <si>
    <t>Total Annual Revenue to Offset IESO Charges</t>
  </si>
  <si>
    <t>Balance Regarding IESO Charges</t>
  </si>
  <si>
    <t xml:space="preserve">Low Voltage </t>
  </si>
  <si>
    <t>Transmission Network Service</t>
  </si>
  <si>
    <t>HST on LV and RTSR Charges</t>
  </si>
  <si>
    <t>Total Monthly Incremental ST Customer Class Delivery Charge from H1 to ELK</t>
  </si>
  <si>
    <t>Total Annual Revenue to Offset Annual Settlement Between Distributors</t>
  </si>
  <si>
    <t>Balance Regarding Annual Settlement Between Distributors</t>
  </si>
  <si>
    <t>Annual Settlement Between Distributors Costs</t>
  </si>
  <si>
    <t>Offsetting Revenue Source: Monthly HONI Sellick Bill</t>
  </si>
  <si>
    <t xml:space="preserve">Offsetting Revenues Source: Monthly E.L.K. Sellick Bill </t>
  </si>
  <si>
    <t xml:space="preserve">Offsetting Revenues Source: Monthly HONI Embedded Distributor Bill to E.L.K. </t>
  </si>
  <si>
    <t>HST on RTSR Charges</t>
  </si>
  <si>
    <t>Total Monthly RTSR Revenue</t>
  </si>
  <si>
    <t>Total Annual RTSR Revenue to Offset Hydro One Transmission Costs</t>
  </si>
  <si>
    <t>Balance Regarding Hydro One Transmission Costs</t>
  </si>
  <si>
    <t xml:space="preserve"> Offsetting Revenues</t>
  </si>
  <si>
    <t>Annual IESO Costs</t>
  </si>
  <si>
    <t>HONI</t>
  </si>
  <si>
    <t>Offsetting Revenue</t>
  </si>
  <si>
    <t>Remaining Sellick Distribution Revenue</t>
  </si>
  <si>
    <t>E.L.K. Rate Rider Disposition of Deferral Variance</t>
  </si>
  <si>
    <t>E.L.K. Rate Rider Disposition of GA</t>
  </si>
  <si>
    <t>Rate Rider Foregone Revenue</t>
  </si>
  <si>
    <t>Rate Rider : Disposition of Variance General (Volumetric)</t>
  </si>
  <si>
    <t xml:space="preserve">Total Remainng Monthly Sellick Distribution Revenue </t>
  </si>
  <si>
    <t>Monthly HST</t>
  </si>
  <si>
    <t>Total Annual Debt Retirement &amp; Standard Supply Administration</t>
  </si>
  <si>
    <t>Monthly Total- Debt Retirement &amp; Standard Supply Administration</t>
  </si>
  <si>
    <t>Balance Regarding Debt Retirement &amp; Standard Supply Administration</t>
  </si>
  <si>
    <t>Total Monthly Debt Retirement &amp; Standard Supply Administration Charges</t>
  </si>
  <si>
    <t>Reference</t>
  </si>
  <si>
    <t>Row ID</t>
  </si>
  <si>
    <t>Monthly Incremental Embedded Distributor Class Delivery Charge from ELK to H1 Including HST</t>
  </si>
  <si>
    <t>Monthly Incremental ST Customer Class Delivery Charge from H1 to ELK Including HST</t>
  </si>
  <si>
    <t>Hydro One Transmission Charges on Hydro One Distribution</t>
  </si>
  <si>
    <t>Total Before HST</t>
  </si>
  <si>
    <t>Total After HST</t>
  </si>
  <si>
    <t>LDC Monthly Balance Regarding IESO Charges</t>
  </si>
  <si>
    <t>LDC Monthly Balance Re: Debt Retirement &amp; Standard Supply Administration Charges</t>
  </si>
  <si>
    <t>LDC Monthly Balance Regarding Hydro One Transmission Charges</t>
  </si>
  <si>
    <t xml:space="preserve">Remaining Monthly ST Customer Class Delivery Bill to E.L.K. Balance </t>
  </si>
  <si>
    <t>Total Monthly Costs</t>
  </si>
  <si>
    <t>E.L.K. Compendium - Tab 3, Page 1</t>
  </si>
  <si>
    <t>E.L.K. Compendium - Tab 1</t>
  </si>
  <si>
    <t>E.L.K. Compendium - Tab 3, Page 2, Column 2</t>
  </si>
  <si>
    <t>E.L.K. Compendium - Tab 3, Page 1, Column 1</t>
  </si>
  <si>
    <t>Hydro One Transmission Rate Schedule</t>
  </si>
  <si>
    <t>E.L.K. Compendium - Tab 3, Page 1, Column 2</t>
  </si>
  <si>
    <t>Hydro One Compendium - Table 1</t>
  </si>
  <si>
    <t>E.L.K. Compendium - Tab 3, Page 1, Columns 1 &amp; 2</t>
  </si>
  <si>
    <t>Annual Revenue Sources</t>
  </si>
  <si>
    <t xml:space="preserve">Hydro One and E.L.K.: Monthly Sellick Bill </t>
  </si>
  <si>
    <t xml:space="preserve">Hydro One: Monthly ST Customer Class Delivery Bill to E.L.K. </t>
  </si>
  <si>
    <t>Subtotal without GA Rider</t>
  </si>
  <si>
    <t>Subtotal without GA Rider + HST</t>
  </si>
  <si>
    <t>Remaining Sellick Revenue Balance</t>
  </si>
  <si>
    <t>Annual Balance - Total Bill Including All Sellick Revenue and Associated Costs</t>
  </si>
  <si>
    <t>Monthly Balance - Total Bill Including All Sellick Revenue and Associated  Costs</t>
  </si>
  <si>
    <t>Annual Costs &amp; Offsetting Total Sellick and Embedded Distributor Bill Revenues</t>
  </si>
  <si>
    <t>Total Monthly ST Customer or Embedded Distributor Class Charges</t>
  </si>
  <si>
    <t>LDC Monthly Balance Regarding ST Customer or Embedded Distributor Class Charges</t>
  </si>
  <si>
    <t>Annual costs to be paid for by other rate payers if only Sellick revenues associated with LV and Transmission Charges are taken into account</t>
  </si>
  <si>
    <t>Monthly costs to be paid for by other rate payers if only Sellick revenues associated with LV and Transmission Charges are taken into account</t>
  </si>
  <si>
    <t>Total Monthly ST Customer or Embedded Distributor Class Delivery Charges</t>
  </si>
  <si>
    <t>E.L.K. Compendium - Tab 3, Page 2, Columns 4 and 5</t>
  </si>
  <si>
    <t>Uniform Transmission Rates Applied to 1,253 Adjusted Hydro One Peak</t>
  </si>
  <si>
    <t>E.L.K. Compendium - Tab 3, Page 2, Column 5</t>
  </si>
  <si>
    <t>E.L.K. Compendium - Tab 3, Page 2, Column 2 (Note: Does not include $0.28 related to Standard Supply Admin Charge + HST)</t>
  </si>
  <si>
    <t>Total Monthly Revenue Including HST</t>
  </si>
  <si>
    <t>TABLE 1 - REVENUE FLOW &amp; ECONOMIC EFFICIENCY RESULTS</t>
  </si>
  <si>
    <t>Annual Embedded Distributor  and Sub Transmission Customer Costs</t>
  </si>
  <si>
    <t>Hydro One Transmission Annual Costs</t>
  </si>
  <si>
    <t>OEFC Debt Retirment  and Standard Supply Admin - Annual Costs</t>
  </si>
  <si>
    <t>Row 11 - Row 15</t>
  </si>
  <si>
    <t>Row 17-Row 19</t>
  </si>
  <si>
    <t>Row 14 - Row 15</t>
  </si>
  <si>
    <t>Row 18 - Row 19</t>
  </si>
  <si>
    <t>Row 22 - Row 23</t>
  </si>
  <si>
    <t>For E.L.K.: Row 21 - Row 23. For Hydro One: Row 21 - 0. Note: For Hydro One, the $10,380.38 Embedded Distributor revenue is sourced from E.L.K. ST customer cost,i.e., Row 12, not Sellick.  That revenue is reduced on the next line.</t>
  </si>
  <si>
    <t>For Hydro One: Row 12 - Row 23</t>
  </si>
  <si>
    <t>Row 27 - Row 28</t>
  </si>
  <si>
    <t>Row 25 - Row 28</t>
  </si>
  <si>
    <t>Sum (Rows 14, 18, 22, 27)</t>
  </si>
  <si>
    <t>Sum (Rows 15, 19, 23, 28)</t>
  </si>
  <si>
    <t>Row 32 - Row 31</t>
  </si>
  <si>
    <t>Row 33 x 12 months</t>
  </si>
  <si>
    <t>Sum (Rows 39 and 42)</t>
  </si>
  <si>
    <t>Row 44 x 12 months</t>
  </si>
  <si>
    <t>Row 37 - Row 38 (Value is the same as Row 24)</t>
  </si>
  <si>
    <t>Row 40 - Row 41 (Value is the same as Row 29)</t>
  </si>
  <si>
    <t>Loss Adjusted Peak (kW)</t>
  </si>
  <si>
    <t>E.L.K. Compendium - Tab 3, Page 1, Column 1 &amp; 2</t>
  </si>
  <si>
    <t>Sum (Rows 1-4)</t>
  </si>
  <si>
    <t>Row 4 x 12 months</t>
  </si>
  <si>
    <t>Row 7 - Row 12</t>
  </si>
  <si>
    <t>Sum (Rows 1 - 9) x 12 months</t>
  </si>
  <si>
    <t>Line 12 - Line 21</t>
  </si>
  <si>
    <t>Monthly revenue from Lines 17 or 21 x 12 months</t>
  </si>
  <si>
    <t>Row 11 - Row 22</t>
  </si>
  <si>
    <t>Sum (Row 10 -13)</t>
  </si>
  <si>
    <t>Row 14 x 12 months</t>
  </si>
  <si>
    <t>Row 15 - Row 8</t>
  </si>
  <si>
    <t>Sum(Rows 1-9) - Row 3</t>
  </si>
  <si>
    <t>Row 10 + HST</t>
  </si>
  <si>
    <t>0.13 x sum(Rows 1 - 9)</t>
  </si>
  <si>
    <t>Sum(Rows 1-9) + Row 12</t>
  </si>
  <si>
    <t xml:space="preserve">Application of Low Voltage and Transmission Revenues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</si>
</sst>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.00"/>
    <numFmt numFmtId="168" formatCode="_(&quot;$&quot;#,##0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6">
    <xf numFmtId="0" fontId="0" fillId="0" borderId="0" xfId="0"/>
    <xf numFmtId="0" fontId="0" fillId="0" borderId="1" xfId="0" applyBorder="1"/>
    <xf numFmtId="44" fontId="0" fillId="0" borderId="1" xfId="0" applyNumberFormat="1" applyBorder="1"/>
    <xf numFmtId="0" fontId="2" fillId="0" borderId="0" xfId="0" applyFont="1"/>
    <xf numFmtId="44" fontId="0" fillId="0" borderId="1" xfId="1" applyFont="1" applyBorder="1"/>
    <xf numFmtId="0" fontId="2" fillId="0" borderId="1" xfId="0" applyFont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0" fontId="0" fillId="0" borderId="1" xfId="0" applyBorder="1" applyAlignment="1">
      <alignment horizontal="right"/>
    </xf>
    <xf numFmtId="0" fontId="0" fillId="0" borderId="0" xfId="0" applyFill="1"/>
    <xf numFmtId="168" fontId="0" fillId="0" borderId="1" xfId="0" applyNumberFormat="1" applyBorder="1" applyAlignment="1">
      <alignment horizontal="right"/>
    </xf>
    <xf numFmtId="167" fontId="0" fillId="0" borderId="1" xfId="1" applyNumberFormat="1" applyFont="1" applyBorder="1"/>
    <xf numFmtId="167" fontId="0" fillId="0" borderId="1" xfId="0" applyNumberFormat="1" applyBorder="1"/>
    <xf numFmtId="167" fontId="2" fillId="3" borderId="1" xfId="0" applyNumberFormat="1" applyFont="1" applyFill="1" applyBorder="1"/>
    <xf numFmtId="167" fontId="2" fillId="3" borderId="1" xfId="1" applyNumberFormat="1" applyFont="1" applyFill="1" applyBorder="1"/>
    <xf numFmtId="7" fontId="0" fillId="0" borderId="0" xfId="0" applyNumberFormat="1"/>
    <xf numFmtId="164" fontId="0" fillId="0" borderId="1" xfId="1" applyNumberFormat="1" applyFont="1" applyBorder="1"/>
    <xf numFmtId="49" fontId="0" fillId="0" borderId="1" xfId="2" applyNumberFormat="1" applyFont="1" applyBorder="1" applyAlignment="1">
      <alignment horizontal="right"/>
    </xf>
    <xf numFmtId="49" fontId="0" fillId="0" borderId="1" xfId="1" applyNumberFormat="1" applyFont="1" applyBorder="1" applyAlignment="1">
      <alignment horizontal="right"/>
    </xf>
    <xf numFmtId="7" fontId="0" fillId="0" borderId="1" xfId="2" applyNumberFormat="1" applyFont="1" applyBorder="1" applyAlignment="1">
      <alignment horizontal="right"/>
    </xf>
    <xf numFmtId="0" fontId="0" fillId="4" borderId="1" xfId="0" applyFont="1" applyFill="1" applyBorder="1" applyAlignment="1">
      <alignment horizontal="left"/>
    </xf>
    <xf numFmtId="44" fontId="1" fillId="4" borderId="1" xfId="1" applyFont="1" applyFill="1" applyBorder="1" applyAlignment="1">
      <alignment horizontal="center"/>
    </xf>
    <xf numFmtId="44" fontId="1" fillId="4" borderId="1" xfId="1" applyFont="1" applyFill="1" applyBorder="1" applyAlignment="1">
      <alignment horizontal="left"/>
    </xf>
    <xf numFmtId="44" fontId="2" fillId="4" borderId="1" xfId="0" applyNumberFormat="1" applyFont="1" applyFill="1" applyBorder="1" applyAlignment="1">
      <alignment horizontal="left"/>
    </xf>
    <xf numFmtId="44" fontId="0" fillId="4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167" fontId="2" fillId="5" borderId="1" xfId="1" applyNumberFormat="1" applyFont="1" applyFill="1" applyBorder="1"/>
    <xf numFmtId="167" fontId="2" fillId="5" borderId="1" xfId="1" applyNumberFormat="1" applyFont="1" applyFill="1" applyBorder="1" applyAlignment="1">
      <alignment horizontal="right"/>
    </xf>
    <xf numFmtId="44" fontId="2" fillId="5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167" fontId="2" fillId="0" borderId="1" xfId="1" applyNumberFormat="1" applyFont="1" applyFill="1" applyBorder="1"/>
    <xf numFmtId="167" fontId="1" fillId="0" borderId="1" xfId="1" applyNumberFormat="1" applyFont="1" applyFill="1" applyBorder="1" applyAlignment="1">
      <alignment horizontal="right"/>
    </xf>
    <xf numFmtId="0" fontId="2" fillId="0" borderId="1" xfId="0" applyFont="1" applyFill="1" applyBorder="1"/>
    <xf numFmtId="167" fontId="2" fillId="0" borderId="1" xfId="1" applyNumberFormat="1" applyFont="1" applyFill="1" applyBorder="1" applyAlignment="1">
      <alignment horizontal="right"/>
    </xf>
    <xf numFmtId="44" fontId="0" fillId="0" borderId="1" xfId="1" applyNumberFormat="1" applyFont="1" applyBorder="1" applyAlignment="1">
      <alignment horizontal="right"/>
    </xf>
    <xf numFmtId="44" fontId="2" fillId="5" borderId="1" xfId="1" applyNumberFormat="1" applyFont="1" applyFill="1" applyBorder="1"/>
    <xf numFmtId="44" fontId="1" fillId="0" borderId="1" xfId="1" applyNumberFormat="1" applyFont="1" applyFill="1" applyBorder="1"/>
    <xf numFmtId="44" fontId="2" fillId="0" borderId="1" xfId="1" applyNumberFormat="1" applyFont="1" applyFill="1" applyBorder="1"/>
    <xf numFmtId="44" fontId="2" fillId="3" borderId="1" xfId="1" applyNumberFormat="1" applyFont="1" applyFill="1" applyBorder="1"/>
    <xf numFmtId="0" fontId="0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1" xfId="0" applyFill="1" applyBorder="1"/>
    <xf numFmtId="44" fontId="1" fillId="0" borderId="1" xfId="1" applyNumberFormat="1" applyFont="1" applyFill="1" applyBorder="1" applyAlignment="1">
      <alignment horizontal="right"/>
    </xf>
    <xf numFmtId="44" fontId="2" fillId="3" borderId="1" xfId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/>
    <xf numFmtId="0" fontId="2" fillId="0" borderId="1" xfId="0" applyFont="1" applyFill="1" applyBorder="1" applyAlignment="1">
      <alignment wrapText="1"/>
    </xf>
    <xf numFmtId="167" fontId="1" fillId="0" borderId="1" xfId="1" applyNumberFormat="1" applyFont="1" applyFill="1" applyBorder="1"/>
    <xf numFmtId="0" fontId="6" fillId="4" borderId="1" xfId="0" applyFont="1" applyFill="1" applyBorder="1" applyAlignment="1">
      <alignment horizontal="left" wrapText="1"/>
    </xf>
    <xf numFmtId="44" fontId="5" fillId="4" borderId="1" xfId="1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left" wrapText="1"/>
    </xf>
    <xf numFmtId="44" fontId="5" fillId="6" borderId="1" xfId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left" wrapText="1"/>
    </xf>
    <xf numFmtId="44" fontId="5" fillId="7" borderId="1" xfId="1" applyFont="1" applyFill="1" applyBorder="1" applyAlignment="1">
      <alignment horizontal="center" wrapText="1"/>
    </xf>
    <xf numFmtId="44" fontId="5" fillId="7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2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left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2" fillId="0" borderId="1" xfId="0" applyFont="1" applyFill="1" applyBorder="1" applyAlignment="1">
      <alignment horizontal="center"/>
    </xf>
    <xf numFmtId="0" fontId="0" fillId="0" borderId="0" xfId="0" applyBorder="1" applyAlignment="1"/>
    <xf numFmtId="0" fontId="0" fillId="0" borderId="12" xfId="0" applyBorder="1" applyAlignment="1"/>
    <xf numFmtId="0" fontId="0" fillId="0" borderId="11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/>
    </xf>
    <xf numFmtId="3" fontId="2" fillId="5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7">
    <cellStyle name="Comma" xfId="2" builtinId="3"/>
    <cellStyle name="Comma 2" xfId="4"/>
    <cellStyle name="Currency" xfId="1" builtinId="4"/>
    <cellStyle name="Currency 2" xfId="5"/>
    <cellStyle name="Normal" xfId="0" builtinId="0"/>
    <cellStyle name="Normal 2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16" zoomScale="70" zoomScaleNormal="70" zoomScaleSheetLayoutView="70" workbookViewId="0">
      <selection activeCell="B39" sqref="B39:D39"/>
    </sheetView>
  </sheetViews>
  <sheetFormatPr defaultRowHeight="15" x14ac:dyDescent="0.25"/>
  <cols>
    <col min="1" max="1" width="9.140625" style="68"/>
    <col min="2" max="2" width="107.85546875" bestFit="1" customWidth="1"/>
    <col min="3" max="4" width="19.140625" bestFit="1" customWidth="1"/>
    <col min="5" max="5" width="55" customWidth="1"/>
  </cols>
  <sheetData>
    <row r="1" spans="1:9" ht="23.25" x14ac:dyDescent="0.35">
      <c r="A1" s="72" t="s">
        <v>128</v>
      </c>
      <c r="B1" s="73"/>
      <c r="C1" s="73"/>
      <c r="D1" s="73"/>
      <c r="E1" s="74"/>
      <c r="F1" s="3"/>
      <c r="G1" s="3"/>
      <c r="H1" s="3"/>
      <c r="I1" s="3"/>
    </row>
    <row r="2" spans="1:9" x14ac:dyDescent="0.25">
      <c r="A2" s="67"/>
      <c r="B2" s="65"/>
      <c r="C2" s="65"/>
      <c r="D2" s="65"/>
      <c r="E2" s="66"/>
    </row>
    <row r="3" spans="1:9" x14ac:dyDescent="0.25">
      <c r="A3" s="69" t="s">
        <v>90</v>
      </c>
      <c r="B3" s="1" t="s">
        <v>13</v>
      </c>
      <c r="C3" s="46" t="s">
        <v>3</v>
      </c>
      <c r="D3" s="46" t="s">
        <v>4</v>
      </c>
      <c r="E3" s="5" t="s">
        <v>89</v>
      </c>
    </row>
    <row r="4" spans="1:9" x14ac:dyDescent="0.25">
      <c r="A4" s="8">
        <v>1</v>
      </c>
      <c r="B4" s="5" t="s">
        <v>2</v>
      </c>
      <c r="C4" s="48"/>
      <c r="D4" s="48"/>
      <c r="E4" s="1"/>
    </row>
    <row r="5" spans="1:9" x14ac:dyDescent="0.25">
      <c r="A5" s="8">
        <v>2</v>
      </c>
      <c r="B5" s="71" t="s">
        <v>14</v>
      </c>
      <c r="C5" s="71"/>
      <c r="D5" s="71"/>
      <c r="E5" s="1"/>
    </row>
    <row r="6" spans="1:9" x14ac:dyDescent="0.25">
      <c r="A6" s="8">
        <v>3</v>
      </c>
      <c r="B6" s="1" t="s">
        <v>5</v>
      </c>
      <c r="C6" s="11">
        <v>8702.67</v>
      </c>
      <c r="D6" s="11">
        <v>16103.17</v>
      </c>
      <c r="E6" s="1" t="s">
        <v>107</v>
      </c>
    </row>
    <row r="7" spans="1:9" x14ac:dyDescent="0.25">
      <c r="A7" s="8">
        <v>4</v>
      </c>
      <c r="B7" s="1" t="s">
        <v>6</v>
      </c>
      <c r="C7" s="8" t="s">
        <v>7</v>
      </c>
      <c r="D7" s="8" t="s">
        <v>7</v>
      </c>
      <c r="E7" s="1" t="s">
        <v>107</v>
      </c>
    </row>
    <row r="8" spans="1:9" x14ac:dyDescent="0.25">
      <c r="A8" s="8">
        <v>5</v>
      </c>
      <c r="B8" s="1" t="s">
        <v>11</v>
      </c>
      <c r="C8" s="8" t="s">
        <v>8</v>
      </c>
      <c r="D8" s="8" t="s">
        <v>8</v>
      </c>
      <c r="E8" s="1" t="s">
        <v>107</v>
      </c>
    </row>
    <row r="9" spans="1:9" x14ac:dyDescent="0.25">
      <c r="A9" s="8">
        <v>6</v>
      </c>
      <c r="B9" s="1" t="s">
        <v>12</v>
      </c>
      <c r="C9" s="10">
        <v>0</v>
      </c>
      <c r="D9" s="10">
        <v>0</v>
      </c>
      <c r="E9" s="1" t="s">
        <v>107</v>
      </c>
    </row>
    <row r="10" spans="1:9" x14ac:dyDescent="0.25">
      <c r="A10" s="8">
        <v>7</v>
      </c>
      <c r="B10" s="47" t="s">
        <v>9</v>
      </c>
      <c r="C10" s="11">
        <v>8432.49</v>
      </c>
      <c r="D10" s="16">
        <v>0</v>
      </c>
      <c r="E10" s="1" t="s">
        <v>107</v>
      </c>
    </row>
    <row r="11" spans="1:9" x14ac:dyDescent="0.25">
      <c r="A11" s="8">
        <v>8</v>
      </c>
      <c r="B11" s="5" t="s">
        <v>10</v>
      </c>
      <c r="C11" s="12">
        <f>C6+C10</f>
        <v>17135.16</v>
      </c>
      <c r="D11" s="12">
        <f>D6</f>
        <v>16103.17</v>
      </c>
      <c r="E11" s="1" t="s">
        <v>107</v>
      </c>
    </row>
    <row r="12" spans="1:9" x14ac:dyDescent="0.25">
      <c r="A12" s="8">
        <v>9</v>
      </c>
      <c r="B12" s="6" t="s">
        <v>26</v>
      </c>
      <c r="C12" s="13">
        <f>C6+C10</f>
        <v>17135.16</v>
      </c>
      <c r="D12" s="13">
        <f>D6+D10</f>
        <v>16103.17</v>
      </c>
      <c r="E12" s="1" t="s">
        <v>107</v>
      </c>
    </row>
    <row r="13" spans="1:9" x14ac:dyDescent="0.25">
      <c r="A13" s="8">
        <v>10</v>
      </c>
      <c r="B13" s="71" t="s">
        <v>109</v>
      </c>
      <c r="C13" s="71"/>
      <c r="D13" s="71"/>
      <c r="E13" s="1"/>
    </row>
    <row r="14" spans="1:9" x14ac:dyDescent="0.25">
      <c r="A14" s="8">
        <v>11</v>
      </c>
      <c r="B14" s="53" t="s">
        <v>110</v>
      </c>
      <c r="C14" s="54">
        <v>49165.22</v>
      </c>
      <c r="D14" s="54">
        <v>50104.71</v>
      </c>
      <c r="E14" s="1" t="s">
        <v>108</v>
      </c>
    </row>
    <row r="15" spans="1:9" ht="45" x14ac:dyDescent="0.25">
      <c r="A15" s="8">
        <v>12</v>
      </c>
      <c r="B15" s="55" t="s">
        <v>111</v>
      </c>
      <c r="C15" s="56"/>
      <c r="D15" s="56">
        <f>'Embedded Costs'!D23</f>
        <v>10380.383400000001</v>
      </c>
      <c r="E15" s="47" t="s">
        <v>126</v>
      </c>
    </row>
    <row r="16" spans="1:9" x14ac:dyDescent="0.25">
      <c r="A16" s="8">
        <v>13</v>
      </c>
      <c r="B16" s="71" t="s">
        <v>117</v>
      </c>
      <c r="C16" s="71"/>
      <c r="D16" s="71"/>
      <c r="E16" s="1"/>
    </row>
    <row r="17" spans="1:5" x14ac:dyDescent="0.25">
      <c r="A17" s="8">
        <v>14</v>
      </c>
      <c r="B17" s="20" t="s">
        <v>37</v>
      </c>
      <c r="C17" s="24">
        <f>'IESO Annual Cost'!C11</f>
        <v>38033.336600000002</v>
      </c>
      <c r="D17" s="24">
        <f>'IESO Annual Cost'!D11</f>
        <v>37110.838499999998</v>
      </c>
      <c r="E17" s="1" t="s">
        <v>108</v>
      </c>
    </row>
    <row r="18" spans="1:5" x14ac:dyDescent="0.25">
      <c r="A18" s="8">
        <v>15</v>
      </c>
      <c r="B18" s="30" t="s">
        <v>127</v>
      </c>
      <c r="C18" s="37">
        <v>38033.336600000002</v>
      </c>
      <c r="D18" s="24">
        <v>37110.838499999998</v>
      </c>
      <c r="E18" s="1" t="s">
        <v>108</v>
      </c>
    </row>
    <row r="19" spans="1:5" x14ac:dyDescent="0.25">
      <c r="A19" s="8">
        <v>16</v>
      </c>
      <c r="B19" s="6" t="s">
        <v>96</v>
      </c>
      <c r="C19" s="39">
        <f>C17-C18</f>
        <v>0</v>
      </c>
      <c r="D19" s="39">
        <f>D17-D18</f>
        <v>0</v>
      </c>
      <c r="E19" s="1" t="s">
        <v>134</v>
      </c>
    </row>
    <row r="20" spans="1:5" x14ac:dyDescent="0.25">
      <c r="A20" s="8">
        <v>17</v>
      </c>
      <c r="B20" s="53" t="s">
        <v>114</v>
      </c>
      <c r="C20" s="54">
        <f>C14-C18</f>
        <v>11131.883399999999</v>
      </c>
      <c r="D20" s="54">
        <f>D14-D18</f>
        <v>12993.871500000001</v>
      </c>
      <c r="E20" s="1" t="s">
        <v>132</v>
      </c>
    </row>
    <row r="21" spans="1:5" x14ac:dyDescent="0.25">
      <c r="A21" s="8">
        <v>18</v>
      </c>
      <c r="B21" s="30" t="s">
        <v>88</v>
      </c>
      <c r="C21" s="37">
        <f>'Debt Retirement and SSA'!C6</f>
        <v>2079.0304999999998</v>
      </c>
      <c r="D21" s="37">
        <f>'Debt Retirement and SSA'!D6</f>
        <v>2099.8225000000002</v>
      </c>
      <c r="E21" s="1" t="s">
        <v>108</v>
      </c>
    </row>
    <row r="22" spans="1:5" x14ac:dyDescent="0.25">
      <c r="A22" s="8">
        <v>19</v>
      </c>
      <c r="B22" s="1" t="s">
        <v>127</v>
      </c>
      <c r="C22" s="37">
        <f>'Debt Retirement and SSA'!C13</f>
        <v>2079.0304999999998</v>
      </c>
      <c r="D22" s="37">
        <f>'Debt Retirement and SSA'!D13</f>
        <v>2099.8225000000002</v>
      </c>
      <c r="E22" s="1" t="s">
        <v>108</v>
      </c>
    </row>
    <row r="23" spans="1:5" x14ac:dyDescent="0.25">
      <c r="A23" s="8">
        <v>20</v>
      </c>
      <c r="B23" s="6" t="s">
        <v>97</v>
      </c>
      <c r="C23" s="39">
        <f>C21-C22</f>
        <v>0</v>
      </c>
      <c r="D23" s="39">
        <f>D21-D22</f>
        <v>0</v>
      </c>
      <c r="E23" s="1" t="s">
        <v>135</v>
      </c>
    </row>
    <row r="24" spans="1:5" x14ac:dyDescent="0.25">
      <c r="A24" s="8">
        <v>21</v>
      </c>
      <c r="B24" s="53" t="s">
        <v>114</v>
      </c>
      <c r="C24" s="54">
        <f>C20-C22</f>
        <v>9052.852899999998</v>
      </c>
      <c r="D24" s="54">
        <f>D20-D22</f>
        <v>10894.049000000001</v>
      </c>
      <c r="E24" s="1" t="s">
        <v>133</v>
      </c>
    </row>
    <row r="25" spans="1:5" x14ac:dyDescent="0.25">
      <c r="A25" s="8">
        <v>22</v>
      </c>
      <c r="B25" s="1" t="s">
        <v>122</v>
      </c>
      <c r="C25" s="37">
        <f>'Embedded Costs'!C7+'Embedded Costs'!C8</f>
        <v>10380.383400000001</v>
      </c>
      <c r="D25" s="37">
        <f>'Embedded Costs'!D3+'Embedded Costs'!D4</f>
        <v>10541.272799999999</v>
      </c>
      <c r="E25" s="1" t="s">
        <v>123</v>
      </c>
    </row>
    <row r="26" spans="1:5" x14ac:dyDescent="0.25">
      <c r="A26" s="8">
        <v>23</v>
      </c>
      <c r="B26" s="1" t="s">
        <v>127</v>
      </c>
      <c r="C26" s="2">
        <f>'Embedded Costs'!C19</f>
        <v>6031.8382999999994</v>
      </c>
      <c r="D26" s="2">
        <f>'Embedded Costs'!D23</f>
        <v>10380.383400000001</v>
      </c>
      <c r="E26" s="1" t="s">
        <v>123</v>
      </c>
    </row>
    <row r="27" spans="1:5" x14ac:dyDescent="0.25">
      <c r="A27" s="8">
        <v>24</v>
      </c>
      <c r="B27" s="6" t="s">
        <v>119</v>
      </c>
      <c r="C27" s="39">
        <f>C26-C25</f>
        <v>-4348.5451000000012</v>
      </c>
      <c r="D27" s="39">
        <f>D26-D25</f>
        <v>-160.8893999999982</v>
      </c>
      <c r="E27" s="1" t="s">
        <v>136</v>
      </c>
    </row>
    <row r="28" spans="1:5" ht="77.25" customHeight="1" x14ac:dyDescent="0.25">
      <c r="A28" s="8">
        <v>25</v>
      </c>
      <c r="B28" s="53" t="s">
        <v>114</v>
      </c>
      <c r="C28" s="54">
        <f>C24-C26</f>
        <v>3021.0145999999986</v>
      </c>
      <c r="D28" s="54">
        <f>D24</f>
        <v>10894.049000000001</v>
      </c>
      <c r="E28" s="47" t="s">
        <v>137</v>
      </c>
    </row>
    <row r="29" spans="1:5" x14ac:dyDescent="0.25">
      <c r="A29" s="8">
        <v>26</v>
      </c>
      <c r="B29" s="55" t="s">
        <v>99</v>
      </c>
      <c r="C29" s="55"/>
      <c r="D29" s="57">
        <f>D26-D15</f>
        <v>0</v>
      </c>
      <c r="E29" s="1" t="s">
        <v>138</v>
      </c>
    </row>
    <row r="30" spans="1:5" ht="30" x14ac:dyDescent="0.25">
      <c r="A30" s="8">
        <v>27</v>
      </c>
      <c r="B30" s="43" t="s">
        <v>43</v>
      </c>
      <c r="C30" s="4">
        <v>0</v>
      </c>
      <c r="D30" s="4">
        <f>'HONI TX'!D7</f>
        <v>9274.0794999999998</v>
      </c>
      <c r="E30" s="47" t="s">
        <v>124</v>
      </c>
    </row>
    <row r="31" spans="1:5" x14ac:dyDescent="0.25">
      <c r="A31" s="8">
        <v>28</v>
      </c>
      <c r="B31" s="43" t="s">
        <v>127</v>
      </c>
      <c r="C31" s="4">
        <v>0</v>
      </c>
      <c r="D31" s="2">
        <f>'HONI TX'!D16</f>
        <v>8340.9706999999999</v>
      </c>
      <c r="E31" s="1" t="s">
        <v>125</v>
      </c>
    </row>
    <row r="32" spans="1:5" x14ac:dyDescent="0.25">
      <c r="A32" s="8">
        <v>29</v>
      </c>
      <c r="B32" s="6" t="s">
        <v>98</v>
      </c>
      <c r="C32" s="39">
        <f>C31-C30</f>
        <v>0</v>
      </c>
      <c r="D32" s="39">
        <f>D31-D30</f>
        <v>-933.10879999999997</v>
      </c>
      <c r="E32" s="1" t="s">
        <v>139</v>
      </c>
    </row>
    <row r="33" spans="1:5" x14ac:dyDescent="0.25">
      <c r="A33" s="8">
        <v>30</v>
      </c>
      <c r="B33" s="53" t="s">
        <v>114</v>
      </c>
      <c r="C33" s="54">
        <f>C28-C31</f>
        <v>3021.0145999999986</v>
      </c>
      <c r="D33" s="54">
        <f>D28-D31</f>
        <v>2553.078300000001</v>
      </c>
      <c r="E33" s="1" t="s">
        <v>140</v>
      </c>
    </row>
    <row r="34" spans="1:5" x14ac:dyDescent="0.25">
      <c r="A34" s="8">
        <v>31</v>
      </c>
      <c r="B34" s="51" t="s">
        <v>100</v>
      </c>
      <c r="C34" s="52">
        <f>C17+C21+C25+C30</f>
        <v>50492.750500000002</v>
      </c>
      <c r="D34" s="52">
        <f>D17+D21+D25+D30</f>
        <v>59026.013299999999</v>
      </c>
      <c r="E34" s="1" t="s">
        <v>141</v>
      </c>
    </row>
    <row r="35" spans="1:5" x14ac:dyDescent="0.25">
      <c r="A35" s="8">
        <v>32</v>
      </c>
      <c r="B35" s="51" t="s">
        <v>127</v>
      </c>
      <c r="C35" s="52">
        <f>C18+C22+C26+C31+C33</f>
        <v>49165.22</v>
      </c>
      <c r="D35" s="52">
        <f>D18+D22+D26+D31+D33</f>
        <v>60485.093399999998</v>
      </c>
      <c r="E35" s="1" t="s">
        <v>142</v>
      </c>
    </row>
    <row r="36" spans="1:5" x14ac:dyDescent="0.25">
      <c r="A36" s="8">
        <v>33</v>
      </c>
      <c r="B36" s="6" t="s">
        <v>116</v>
      </c>
      <c r="C36" s="7">
        <f>C35-C34</f>
        <v>-1327.5305000000008</v>
      </c>
      <c r="D36" s="7">
        <f>D35-D34</f>
        <v>1459.0800999999992</v>
      </c>
      <c r="E36" s="1" t="s">
        <v>143</v>
      </c>
    </row>
    <row r="37" spans="1:5" x14ac:dyDescent="0.25">
      <c r="A37" s="8">
        <v>34</v>
      </c>
      <c r="B37" s="6" t="s">
        <v>115</v>
      </c>
      <c r="C37" s="7">
        <f>C36*12</f>
        <v>-15930.366000000009</v>
      </c>
      <c r="D37" s="7">
        <f>D36*12</f>
        <v>17508.961199999991</v>
      </c>
      <c r="E37" s="1" t="s">
        <v>144</v>
      </c>
    </row>
    <row r="38" spans="1:5" x14ac:dyDescent="0.25">
      <c r="A38" s="8">
        <v>35</v>
      </c>
      <c r="B38" s="1"/>
      <c r="C38" s="1"/>
      <c r="D38" s="1"/>
      <c r="E38" s="1"/>
    </row>
    <row r="39" spans="1:5" x14ac:dyDescent="0.25">
      <c r="A39" s="8">
        <v>36</v>
      </c>
      <c r="B39" s="71" t="s">
        <v>165</v>
      </c>
      <c r="C39" s="71"/>
      <c r="D39" s="71"/>
      <c r="E39" s="1"/>
    </row>
    <row r="40" spans="1:5" x14ac:dyDescent="0.25">
      <c r="A40" s="8">
        <v>37</v>
      </c>
      <c r="B40" s="1" t="s">
        <v>118</v>
      </c>
      <c r="C40" s="37">
        <v>10380.383400000001</v>
      </c>
      <c r="D40" s="37">
        <v>10541.272799999999</v>
      </c>
      <c r="E40" s="1" t="s">
        <v>123</v>
      </c>
    </row>
    <row r="41" spans="1:5" x14ac:dyDescent="0.25">
      <c r="A41" s="8">
        <v>38</v>
      </c>
      <c r="B41" s="1" t="s">
        <v>57</v>
      </c>
      <c r="C41" s="2">
        <v>6031.8382999999994</v>
      </c>
      <c r="D41" s="2">
        <v>10380.383400000001</v>
      </c>
      <c r="E41" s="1" t="s">
        <v>123</v>
      </c>
    </row>
    <row r="42" spans="1:5" x14ac:dyDescent="0.25">
      <c r="A42" s="8">
        <v>39</v>
      </c>
      <c r="B42" s="6" t="s">
        <v>119</v>
      </c>
      <c r="C42" s="39">
        <v>-4348.5451000000012</v>
      </c>
      <c r="D42" s="39">
        <v>-160.8893999999982</v>
      </c>
      <c r="E42" s="1" t="s">
        <v>147</v>
      </c>
    </row>
    <row r="43" spans="1:5" ht="30" x14ac:dyDescent="0.25">
      <c r="A43" s="8">
        <v>40</v>
      </c>
      <c r="B43" s="43" t="s">
        <v>43</v>
      </c>
      <c r="C43" s="4">
        <v>0</v>
      </c>
      <c r="D43" s="4">
        <v>9274.0794999999998</v>
      </c>
      <c r="E43" s="47" t="s">
        <v>124</v>
      </c>
    </row>
    <row r="44" spans="1:5" x14ac:dyDescent="0.25">
      <c r="A44" s="8">
        <v>41</v>
      </c>
      <c r="B44" s="43" t="s">
        <v>57</v>
      </c>
      <c r="C44" s="4">
        <v>0</v>
      </c>
      <c r="D44" s="2">
        <v>8340.9706999999999</v>
      </c>
      <c r="E44" s="1" t="s">
        <v>125</v>
      </c>
    </row>
    <row r="45" spans="1:5" x14ac:dyDescent="0.25">
      <c r="A45" s="8">
        <v>42</v>
      </c>
      <c r="B45" s="6" t="s">
        <v>98</v>
      </c>
      <c r="C45" s="39">
        <v>0</v>
      </c>
      <c r="D45" s="39">
        <v>-933.10879999999997</v>
      </c>
      <c r="E45" s="1" t="s">
        <v>148</v>
      </c>
    </row>
    <row r="46" spans="1:5" ht="45" customHeight="1" x14ac:dyDescent="0.25">
      <c r="A46" s="8">
        <v>44</v>
      </c>
      <c r="B46" s="59" t="s">
        <v>121</v>
      </c>
      <c r="C46" s="7">
        <f>C42+C45</f>
        <v>-4348.5451000000012</v>
      </c>
      <c r="D46" s="7">
        <f>D42+D45</f>
        <v>-1093.9981999999982</v>
      </c>
      <c r="E46" s="1" t="s">
        <v>145</v>
      </c>
    </row>
    <row r="47" spans="1:5" ht="48.75" customHeight="1" x14ac:dyDescent="0.25">
      <c r="A47" s="8">
        <v>45</v>
      </c>
      <c r="B47" s="59" t="s">
        <v>120</v>
      </c>
      <c r="C47" s="7">
        <f>C46*12</f>
        <v>-52182.541200000014</v>
      </c>
      <c r="D47" s="7">
        <f>D46*12</f>
        <v>-13127.978399999978</v>
      </c>
      <c r="E47" s="1" t="s">
        <v>146</v>
      </c>
    </row>
  </sheetData>
  <mergeCells count="5">
    <mergeCell ref="B39:D39"/>
    <mergeCell ref="A1:E1"/>
    <mergeCell ref="B5:D5"/>
    <mergeCell ref="B13:D13"/>
    <mergeCell ref="B16:D16"/>
  </mergeCells>
  <pageMargins left="0.7" right="0.7" top="0.75" bottom="0.75" header="0.3" footer="0.3"/>
  <pageSetup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G12" sqref="G12"/>
    </sheetView>
  </sheetViews>
  <sheetFormatPr defaultRowHeight="15" x14ac:dyDescent="0.25"/>
  <cols>
    <col min="2" max="2" width="61" bestFit="1" customWidth="1"/>
    <col min="3" max="4" width="13.42578125" bestFit="1" customWidth="1"/>
    <col min="5" max="5" width="31.7109375" bestFit="1" customWidth="1"/>
  </cols>
  <sheetData>
    <row r="1" spans="1:5" x14ac:dyDescent="0.25">
      <c r="A1" s="71" t="s">
        <v>75</v>
      </c>
      <c r="B1" s="71"/>
      <c r="C1" s="71"/>
      <c r="D1" s="71"/>
      <c r="E1" s="71"/>
    </row>
    <row r="2" spans="1:5" s="9" customFormat="1" x14ac:dyDescent="0.25">
      <c r="A2" s="33" t="s">
        <v>90</v>
      </c>
      <c r="B2" s="41"/>
      <c r="C2" s="42" t="s">
        <v>3</v>
      </c>
      <c r="D2" s="42" t="s">
        <v>76</v>
      </c>
      <c r="E2" s="64" t="s">
        <v>89</v>
      </c>
    </row>
    <row r="3" spans="1:5" x14ac:dyDescent="0.25">
      <c r="A3" s="58">
        <v>1</v>
      </c>
      <c r="B3" s="75" t="s">
        <v>33</v>
      </c>
      <c r="C3" s="75"/>
      <c r="D3" s="75"/>
      <c r="E3" s="5"/>
    </row>
    <row r="4" spans="1:5" x14ac:dyDescent="0.25">
      <c r="A4" s="58">
        <v>2</v>
      </c>
      <c r="B4" s="60" t="s">
        <v>15</v>
      </c>
      <c r="C4" s="21">
        <v>2905.57</v>
      </c>
      <c r="D4" s="21">
        <v>2835.09</v>
      </c>
      <c r="E4" s="58" t="s">
        <v>101</v>
      </c>
    </row>
    <row r="5" spans="1:5" x14ac:dyDescent="0.25">
      <c r="A5" s="58">
        <v>3</v>
      </c>
      <c r="B5" s="60" t="s">
        <v>16</v>
      </c>
      <c r="C5" s="21">
        <v>29064.6</v>
      </c>
      <c r="D5" s="21">
        <v>28359.64</v>
      </c>
      <c r="E5" s="58" t="s">
        <v>101</v>
      </c>
    </row>
    <row r="6" spans="1:5" x14ac:dyDescent="0.25">
      <c r="A6" s="58">
        <v>4</v>
      </c>
      <c r="B6" s="75" t="s">
        <v>34</v>
      </c>
      <c r="C6" s="75"/>
      <c r="D6" s="75"/>
      <c r="E6" s="58"/>
    </row>
    <row r="7" spans="1:5" x14ac:dyDescent="0.25">
      <c r="A7" s="58">
        <v>5</v>
      </c>
      <c r="B7" s="60" t="s">
        <v>35</v>
      </c>
      <c r="C7" s="22">
        <v>1012.59</v>
      </c>
      <c r="D7" s="22">
        <v>988.03</v>
      </c>
      <c r="E7" s="58" t="s">
        <v>101</v>
      </c>
    </row>
    <row r="8" spans="1:5" x14ac:dyDescent="0.25">
      <c r="A8" s="58">
        <v>6</v>
      </c>
      <c r="B8" s="60" t="s">
        <v>36</v>
      </c>
      <c r="C8" s="22">
        <v>365.66</v>
      </c>
      <c r="D8" s="22">
        <v>356.79</v>
      </c>
      <c r="E8" s="58" t="s">
        <v>101</v>
      </c>
    </row>
    <row r="9" spans="1:5" x14ac:dyDescent="0.25">
      <c r="A9" s="58">
        <v>7</v>
      </c>
      <c r="B9" s="60" t="s">
        <v>22</v>
      </c>
      <c r="C9" s="22">
        <v>309.39999999999998</v>
      </c>
      <c r="D9" s="22">
        <v>301.89999999999998</v>
      </c>
      <c r="E9" s="58" t="s">
        <v>101</v>
      </c>
    </row>
    <row r="10" spans="1:5" x14ac:dyDescent="0.25">
      <c r="A10" s="58">
        <v>8</v>
      </c>
      <c r="B10" s="60" t="s">
        <v>39</v>
      </c>
      <c r="C10" s="23">
        <f>SUM(C4:C5,C7,C8,C9)*0.13</f>
        <v>4375.5165999999999</v>
      </c>
      <c r="D10" s="23">
        <f>SUM(D4:D5,D7,D8,D9)*0.13</f>
        <v>4269.3885</v>
      </c>
      <c r="E10" s="58" t="s">
        <v>101</v>
      </c>
    </row>
    <row r="11" spans="1:5" x14ac:dyDescent="0.25">
      <c r="A11" s="58">
        <v>9</v>
      </c>
      <c r="B11" s="60" t="s">
        <v>37</v>
      </c>
      <c r="C11" s="23">
        <f>SUM(C4:C5,C7,C8,C9,C10)</f>
        <v>38033.336600000002</v>
      </c>
      <c r="D11" s="23">
        <f>SUM(D4:D5,D7,D8,D9,D10)</f>
        <v>37110.838499999998</v>
      </c>
      <c r="E11" s="58" t="s">
        <v>101</v>
      </c>
    </row>
    <row r="12" spans="1:5" x14ac:dyDescent="0.25">
      <c r="A12" s="58">
        <v>10</v>
      </c>
      <c r="B12" s="25" t="s">
        <v>38</v>
      </c>
      <c r="C12" s="29">
        <f>C11*12</f>
        <v>456400.0392</v>
      </c>
      <c r="D12" s="29">
        <f>D11*12</f>
        <v>445330.06199999998</v>
      </c>
      <c r="E12" s="58" t="s">
        <v>154</v>
      </c>
    </row>
    <row r="13" spans="1:5" s="9" customFormat="1" x14ac:dyDescent="0.25">
      <c r="A13" s="58">
        <v>11</v>
      </c>
      <c r="B13" s="71" t="s">
        <v>74</v>
      </c>
      <c r="C13" s="71"/>
      <c r="D13" s="71"/>
      <c r="E13" s="30"/>
    </row>
    <row r="14" spans="1:5" s="9" customFormat="1" x14ac:dyDescent="0.25">
      <c r="A14" s="58">
        <v>12</v>
      </c>
      <c r="B14" s="25" t="s">
        <v>38</v>
      </c>
      <c r="C14" s="36">
        <v>-456400.0392</v>
      </c>
      <c r="D14" s="36">
        <v>-445330.06199999998</v>
      </c>
      <c r="E14" s="30"/>
    </row>
    <row r="15" spans="1:5" s="9" customFormat="1" x14ac:dyDescent="0.25">
      <c r="A15" s="58">
        <v>13</v>
      </c>
      <c r="B15" s="33" t="s">
        <v>55</v>
      </c>
      <c r="C15" s="31"/>
      <c r="D15" s="34"/>
      <c r="E15" s="30"/>
    </row>
    <row r="16" spans="1:5" s="9" customFormat="1" x14ac:dyDescent="0.25">
      <c r="A16" s="58">
        <v>14</v>
      </c>
      <c r="B16" s="33" t="s">
        <v>15</v>
      </c>
      <c r="C16" s="37">
        <f>2905.57</f>
        <v>2905.57</v>
      </c>
      <c r="D16" s="32">
        <v>2835.09</v>
      </c>
      <c r="E16" s="58" t="s">
        <v>101</v>
      </c>
    </row>
    <row r="17" spans="1:5" s="9" customFormat="1" x14ac:dyDescent="0.25">
      <c r="A17" s="58">
        <v>15</v>
      </c>
      <c r="B17" s="33" t="s">
        <v>16</v>
      </c>
      <c r="C17" s="37">
        <v>29064.6</v>
      </c>
      <c r="D17" s="32">
        <v>28359.64</v>
      </c>
      <c r="E17" s="58" t="s">
        <v>101</v>
      </c>
    </row>
    <row r="18" spans="1:5" s="9" customFormat="1" x14ac:dyDescent="0.25">
      <c r="A18" s="58">
        <v>16</v>
      </c>
      <c r="B18" s="33" t="s">
        <v>35</v>
      </c>
      <c r="C18" s="37">
        <v>1012.59</v>
      </c>
      <c r="D18" s="32">
        <v>988.03</v>
      </c>
      <c r="E18" s="58" t="s">
        <v>101</v>
      </c>
    </row>
    <row r="19" spans="1:5" s="9" customFormat="1" x14ac:dyDescent="0.25">
      <c r="A19" s="58">
        <v>17</v>
      </c>
      <c r="B19" s="33" t="s">
        <v>36</v>
      </c>
      <c r="C19" s="37">
        <v>365.66</v>
      </c>
      <c r="D19" s="32">
        <v>356.79</v>
      </c>
      <c r="E19" s="58" t="s">
        <v>101</v>
      </c>
    </row>
    <row r="20" spans="1:5" s="9" customFormat="1" x14ac:dyDescent="0.25">
      <c r="A20" s="58">
        <v>18</v>
      </c>
      <c r="B20" s="33" t="s">
        <v>22</v>
      </c>
      <c r="C20" s="37">
        <v>309.39999999999998</v>
      </c>
      <c r="D20" s="32">
        <v>301.89999999999998</v>
      </c>
      <c r="E20" s="58" t="s">
        <v>101</v>
      </c>
    </row>
    <row r="21" spans="1:5" s="9" customFormat="1" x14ac:dyDescent="0.25">
      <c r="A21" s="58">
        <v>19</v>
      </c>
      <c r="B21" s="33" t="s">
        <v>56</v>
      </c>
      <c r="C21" s="37">
        <f>SUM(C16:C20)*0.13</f>
        <v>4375.5165999999999</v>
      </c>
      <c r="D21" s="32">
        <f>SUM(D16:D20)*0.13</f>
        <v>4269.3885</v>
      </c>
      <c r="E21" s="58" t="s">
        <v>101</v>
      </c>
    </row>
    <row r="22" spans="1:5" s="9" customFormat="1" x14ac:dyDescent="0.25">
      <c r="A22" s="58">
        <v>20</v>
      </c>
      <c r="B22" s="33" t="s">
        <v>57</v>
      </c>
      <c r="C22" s="38">
        <f>SUM(C16:C21)</f>
        <v>38033.336600000002</v>
      </c>
      <c r="D22" s="34">
        <f>SUM(D16:D21)</f>
        <v>37110.838499999998</v>
      </c>
      <c r="E22" s="58" t="s">
        <v>101</v>
      </c>
    </row>
    <row r="23" spans="1:5" s="9" customFormat="1" x14ac:dyDescent="0.25">
      <c r="A23" s="58">
        <v>21</v>
      </c>
      <c r="B23" s="33" t="s">
        <v>58</v>
      </c>
      <c r="C23" s="38">
        <f>C22*12</f>
        <v>456400.0392</v>
      </c>
      <c r="D23" s="34">
        <f>D22*12</f>
        <v>445330.06199999998</v>
      </c>
      <c r="E23" s="58" t="s">
        <v>154</v>
      </c>
    </row>
    <row r="24" spans="1:5" x14ac:dyDescent="0.25">
      <c r="A24" s="58">
        <v>22</v>
      </c>
      <c r="B24" s="6" t="s">
        <v>59</v>
      </c>
      <c r="C24" s="39">
        <f>C14+C23</f>
        <v>0</v>
      </c>
      <c r="D24" s="39">
        <f>D14+D23</f>
        <v>0</v>
      </c>
      <c r="E24" s="58" t="s">
        <v>155</v>
      </c>
    </row>
  </sheetData>
  <mergeCells count="4">
    <mergeCell ref="B3:D3"/>
    <mergeCell ref="B6:D6"/>
    <mergeCell ref="B13:D13"/>
    <mergeCell ref="A1:E1"/>
  </mergeCells>
  <pageMargins left="0.7" right="0.7" top="0.75" bottom="0.75" header="0.3" footer="0.3"/>
  <pageSetup scale="9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C16" sqref="C16"/>
    </sheetView>
  </sheetViews>
  <sheetFormatPr defaultRowHeight="15" x14ac:dyDescent="0.25"/>
  <cols>
    <col min="2" max="2" width="56" bestFit="1" customWidth="1"/>
    <col min="3" max="4" width="13.42578125" bestFit="1" customWidth="1"/>
    <col min="5" max="5" width="41.28515625" bestFit="1" customWidth="1"/>
    <col min="7" max="7" width="11.85546875" bestFit="1" customWidth="1"/>
  </cols>
  <sheetData>
    <row r="1" spans="1:7" x14ac:dyDescent="0.25">
      <c r="A1" s="76" t="s">
        <v>129</v>
      </c>
      <c r="B1" s="77"/>
      <c r="C1" s="77"/>
      <c r="D1" s="77"/>
      <c r="E1" s="78"/>
    </row>
    <row r="2" spans="1:7" x14ac:dyDescent="0.25">
      <c r="A2" s="5" t="s">
        <v>90</v>
      </c>
      <c r="B2" s="41"/>
      <c r="C2" s="42" t="s">
        <v>3</v>
      </c>
      <c r="D2" s="42" t="s">
        <v>76</v>
      </c>
      <c r="E2" s="46" t="s">
        <v>89</v>
      </c>
    </row>
    <row r="3" spans="1:7" ht="30" x14ac:dyDescent="0.25">
      <c r="A3" s="1">
        <v>1</v>
      </c>
      <c r="B3" s="47" t="s">
        <v>48</v>
      </c>
      <c r="C3" s="23"/>
      <c r="D3" s="24">
        <v>9328.56</v>
      </c>
      <c r="E3" s="1" t="s">
        <v>102</v>
      </c>
    </row>
    <row r="4" spans="1:7" ht="30" x14ac:dyDescent="0.25">
      <c r="A4" s="1">
        <v>2</v>
      </c>
      <c r="B4" s="47" t="s">
        <v>52</v>
      </c>
      <c r="C4" s="23"/>
      <c r="D4" s="24">
        <f>D3*0.13</f>
        <v>1212.7128</v>
      </c>
      <c r="E4" s="1" t="s">
        <v>102</v>
      </c>
    </row>
    <row r="5" spans="1:7" ht="30" x14ac:dyDescent="0.25">
      <c r="A5" s="1">
        <v>3</v>
      </c>
      <c r="B5" s="47" t="s">
        <v>91</v>
      </c>
      <c r="C5" s="23"/>
      <c r="D5" s="24">
        <f>SUM(D3:D4)</f>
        <v>10541.272799999999</v>
      </c>
      <c r="E5" s="1" t="s">
        <v>102</v>
      </c>
    </row>
    <row r="6" spans="1:7" ht="30" x14ac:dyDescent="0.25">
      <c r="A6" s="1">
        <v>4</v>
      </c>
      <c r="B6" s="47" t="s">
        <v>49</v>
      </c>
      <c r="C6" s="11"/>
      <c r="D6" s="35">
        <f>(D3+D4)*12</f>
        <v>126495.27359999999</v>
      </c>
      <c r="E6" s="1" t="s">
        <v>102</v>
      </c>
      <c r="G6" s="15"/>
    </row>
    <row r="7" spans="1:7" ht="30" x14ac:dyDescent="0.25">
      <c r="A7" s="1">
        <v>5</v>
      </c>
      <c r="B7" s="47" t="s">
        <v>50</v>
      </c>
      <c r="C7" s="11">
        <f>1422.89+381.9+4185.21+976.37+2219.81</f>
        <v>9186.18</v>
      </c>
      <c r="D7" s="17"/>
      <c r="E7" s="1" t="s">
        <v>103</v>
      </c>
      <c r="G7" s="15"/>
    </row>
    <row r="8" spans="1:7" ht="30" x14ac:dyDescent="0.25">
      <c r="A8" s="1">
        <v>6</v>
      </c>
      <c r="B8" s="47" t="s">
        <v>53</v>
      </c>
      <c r="C8" s="11">
        <f>C7*0.13</f>
        <v>1194.2034000000001</v>
      </c>
      <c r="D8" s="17"/>
      <c r="E8" s="1" t="s">
        <v>103</v>
      </c>
      <c r="G8" s="15"/>
    </row>
    <row r="9" spans="1:7" ht="30" x14ac:dyDescent="0.25">
      <c r="A9" s="1">
        <v>7</v>
      </c>
      <c r="B9" s="47" t="s">
        <v>92</v>
      </c>
      <c r="C9" s="11">
        <f>C7+C8</f>
        <v>10380.383400000001</v>
      </c>
      <c r="D9" s="17"/>
      <c r="E9" s="1" t="s">
        <v>103</v>
      </c>
      <c r="G9" s="15"/>
    </row>
    <row r="10" spans="1:7" x14ac:dyDescent="0.25">
      <c r="A10" s="1">
        <v>8</v>
      </c>
      <c r="B10" s="1" t="s">
        <v>54</v>
      </c>
      <c r="C10" s="18" t="s">
        <v>47</v>
      </c>
      <c r="D10" s="19"/>
      <c r="E10" s="1" t="s">
        <v>103</v>
      </c>
      <c r="G10" s="15"/>
    </row>
    <row r="11" spans="1:7" x14ac:dyDescent="0.25">
      <c r="A11" s="1">
        <v>9</v>
      </c>
      <c r="B11" s="26" t="s">
        <v>66</v>
      </c>
      <c r="C11" s="27">
        <f>C10-C6</f>
        <v>124568.05</v>
      </c>
      <c r="D11" s="28">
        <f>D6</f>
        <v>126495.27359999999</v>
      </c>
      <c r="E11" s="1"/>
    </row>
    <row r="12" spans="1:7" x14ac:dyDescent="0.25">
      <c r="A12" s="1">
        <v>10</v>
      </c>
      <c r="B12" s="71" t="s">
        <v>46</v>
      </c>
      <c r="C12" s="71"/>
      <c r="D12" s="71"/>
      <c r="E12" s="1"/>
    </row>
    <row r="13" spans="1:7" x14ac:dyDescent="0.25">
      <c r="A13" s="1">
        <v>11</v>
      </c>
      <c r="B13" s="26" t="s">
        <v>66</v>
      </c>
      <c r="C13" s="36">
        <v>-124568.05</v>
      </c>
      <c r="D13" s="36">
        <v>-126495.27</v>
      </c>
      <c r="E13" s="1"/>
    </row>
    <row r="14" spans="1:7" x14ac:dyDescent="0.25">
      <c r="A14" s="1">
        <v>12</v>
      </c>
      <c r="B14" s="33" t="s">
        <v>68</v>
      </c>
      <c r="C14" s="38"/>
      <c r="D14" s="38"/>
      <c r="E14" s="1"/>
    </row>
    <row r="15" spans="1:7" x14ac:dyDescent="0.25">
      <c r="A15" s="1">
        <v>13</v>
      </c>
      <c r="B15" s="30" t="s">
        <v>60</v>
      </c>
      <c r="C15" s="37">
        <f>546.6</f>
        <v>546.6</v>
      </c>
      <c r="D15" s="38"/>
      <c r="E15" s="1" t="s">
        <v>104</v>
      </c>
    </row>
    <row r="16" spans="1:7" x14ac:dyDescent="0.25">
      <c r="A16" s="1">
        <v>14</v>
      </c>
      <c r="B16" s="30" t="s">
        <v>61</v>
      </c>
      <c r="C16" s="37">
        <v>2850.64</v>
      </c>
      <c r="D16" s="38"/>
      <c r="E16" s="1" t="s">
        <v>104</v>
      </c>
    </row>
    <row r="17" spans="1:5" x14ac:dyDescent="0.25">
      <c r="A17" s="1">
        <v>15</v>
      </c>
      <c r="B17" s="30" t="s">
        <v>20</v>
      </c>
      <c r="C17" s="37">
        <v>1940.67</v>
      </c>
      <c r="D17" s="38"/>
      <c r="E17" s="1" t="s">
        <v>104</v>
      </c>
    </row>
    <row r="18" spans="1:5" x14ac:dyDescent="0.25">
      <c r="A18" s="1">
        <v>16</v>
      </c>
      <c r="B18" s="30" t="s">
        <v>62</v>
      </c>
      <c r="C18" s="37">
        <f>(C15+C16+C17)*0.13</f>
        <v>693.92830000000004</v>
      </c>
      <c r="D18" s="38"/>
      <c r="E18" s="1" t="s">
        <v>104</v>
      </c>
    </row>
    <row r="19" spans="1:5" x14ac:dyDescent="0.25">
      <c r="A19" s="1">
        <v>17</v>
      </c>
      <c r="B19" s="30" t="s">
        <v>57</v>
      </c>
      <c r="C19" s="37">
        <f>SUM(C15:C18)</f>
        <v>6031.8382999999994</v>
      </c>
      <c r="D19" s="38"/>
      <c r="E19" s="1" t="s">
        <v>104</v>
      </c>
    </row>
    <row r="20" spans="1:5" ht="30" x14ac:dyDescent="0.25">
      <c r="A20" s="1">
        <v>18</v>
      </c>
      <c r="B20" s="49" t="s">
        <v>69</v>
      </c>
      <c r="C20" s="38"/>
      <c r="D20" s="38"/>
      <c r="E20" s="1"/>
    </row>
    <row r="21" spans="1:5" ht="30" x14ac:dyDescent="0.25">
      <c r="A21" s="1">
        <v>19</v>
      </c>
      <c r="B21" s="47" t="s">
        <v>50</v>
      </c>
      <c r="C21" s="37"/>
      <c r="D21" s="50">
        <f>C7</f>
        <v>9186.18</v>
      </c>
      <c r="E21" s="1" t="s">
        <v>103</v>
      </c>
    </row>
    <row r="22" spans="1:5" ht="30" x14ac:dyDescent="0.25">
      <c r="A22" s="1">
        <v>20</v>
      </c>
      <c r="B22" s="40" t="s">
        <v>51</v>
      </c>
      <c r="C22" s="37"/>
      <c r="D22" s="50">
        <f>C8</f>
        <v>1194.2034000000001</v>
      </c>
      <c r="E22" s="1" t="s">
        <v>103</v>
      </c>
    </row>
    <row r="23" spans="1:5" ht="30" x14ac:dyDescent="0.25">
      <c r="A23" s="1">
        <v>21</v>
      </c>
      <c r="B23" s="40" t="s">
        <v>63</v>
      </c>
      <c r="C23" s="37"/>
      <c r="D23" s="50">
        <f>C9</f>
        <v>10380.383400000001</v>
      </c>
      <c r="E23" s="1" t="s">
        <v>103</v>
      </c>
    </row>
    <row r="24" spans="1:5" ht="30" x14ac:dyDescent="0.25">
      <c r="A24" s="1">
        <v>22</v>
      </c>
      <c r="B24" s="49" t="s">
        <v>64</v>
      </c>
      <c r="C24" s="38">
        <f>C19*12</f>
        <v>72382.059599999993</v>
      </c>
      <c r="D24" s="38">
        <f>D23*12</f>
        <v>124564.60080000001</v>
      </c>
      <c r="E24" s="47" t="s">
        <v>156</v>
      </c>
    </row>
    <row r="25" spans="1:5" x14ac:dyDescent="0.25">
      <c r="A25" s="1">
        <v>23</v>
      </c>
      <c r="B25" s="6" t="s">
        <v>65</v>
      </c>
      <c r="C25" s="39">
        <f>C13+C24</f>
        <v>-52185.99040000001</v>
      </c>
      <c r="D25" s="39">
        <f>D13+D24</f>
        <v>-1930.6691999999894</v>
      </c>
      <c r="E25" s="1" t="s">
        <v>157</v>
      </c>
    </row>
  </sheetData>
  <mergeCells count="2">
    <mergeCell ref="B12:D12"/>
    <mergeCell ref="A1:E1"/>
  </mergeCells>
  <pageMargins left="0.7" right="0.7" top="0.75" bottom="0.75" header="0.3" footer="0.3"/>
  <pageSetup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E18"/>
    </sheetView>
  </sheetViews>
  <sheetFormatPr defaultRowHeight="15" x14ac:dyDescent="0.25"/>
  <cols>
    <col min="2" max="2" width="61" bestFit="1" customWidth="1"/>
    <col min="4" max="4" width="12.5703125" bestFit="1" customWidth="1"/>
    <col min="5" max="5" width="41.28515625" bestFit="1" customWidth="1"/>
  </cols>
  <sheetData>
    <row r="1" spans="1:5" x14ac:dyDescent="0.25">
      <c r="A1" s="79" t="s">
        <v>130</v>
      </c>
      <c r="B1" s="79"/>
      <c r="C1" s="79"/>
      <c r="D1" s="79"/>
      <c r="E1" s="79"/>
    </row>
    <row r="2" spans="1:5" x14ac:dyDescent="0.25">
      <c r="A2" s="5" t="s">
        <v>90</v>
      </c>
      <c r="B2" s="41"/>
      <c r="C2" s="42" t="s">
        <v>3</v>
      </c>
      <c r="D2" s="42" t="s">
        <v>76</v>
      </c>
      <c r="E2" s="46" t="s">
        <v>89</v>
      </c>
    </row>
    <row r="3" spans="1:5" x14ac:dyDescent="0.25">
      <c r="A3" s="1">
        <v>1</v>
      </c>
      <c r="B3" s="30" t="s">
        <v>42</v>
      </c>
      <c r="C3" s="31"/>
      <c r="D3" s="32">
        <f>'HONI Tx Charges on HONI Dx'!D5</f>
        <v>4585.9800000000005</v>
      </c>
      <c r="E3" s="1" t="s">
        <v>105</v>
      </c>
    </row>
    <row r="4" spans="1:5" x14ac:dyDescent="0.25">
      <c r="A4" s="1">
        <v>2</v>
      </c>
      <c r="B4" s="30" t="s">
        <v>40</v>
      </c>
      <c r="C4" s="31"/>
      <c r="D4" s="32">
        <f>'HONI Tx Charges on HONI Dx'!D6</f>
        <v>1090.1099999999999</v>
      </c>
      <c r="E4" s="1" t="s">
        <v>105</v>
      </c>
    </row>
    <row r="5" spans="1:5" x14ac:dyDescent="0.25">
      <c r="A5" s="1">
        <v>3</v>
      </c>
      <c r="B5" s="30" t="s">
        <v>41</v>
      </c>
      <c r="C5" s="31"/>
      <c r="D5" s="32">
        <f>'HONI Tx Charges on HONI Dx'!D7</f>
        <v>2531.06</v>
      </c>
      <c r="E5" s="1" t="s">
        <v>105</v>
      </c>
    </row>
    <row r="6" spans="1:5" x14ac:dyDescent="0.25">
      <c r="A6" s="1">
        <v>4</v>
      </c>
      <c r="B6" s="30" t="s">
        <v>45</v>
      </c>
      <c r="C6" s="31"/>
      <c r="D6" s="32">
        <f>SUM(D3:D5)*0.13</f>
        <v>1066.9295</v>
      </c>
      <c r="E6" s="1" t="s">
        <v>105</v>
      </c>
    </row>
    <row r="7" spans="1:5" x14ac:dyDescent="0.25">
      <c r="A7" s="1">
        <v>5</v>
      </c>
      <c r="B7" s="30" t="s">
        <v>43</v>
      </c>
      <c r="C7" s="31"/>
      <c r="D7" s="32">
        <f>SUM(D3:D6)</f>
        <v>9274.0794999999998</v>
      </c>
      <c r="E7" s="1" t="s">
        <v>151</v>
      </c>
    </row>
    <row r="8" spans="1:5" x14ac:dyDescent="0.25">
      <c r="A8" s="1">
        <v>6</v>
      </c>
      <c r="B8" s="26" t="s">
        <v>44</v>
      </c>
      <c r="C8" s="27"/>
      <c r="D8" s="28">
        <f>D7*12</f>
        <v>111288.954</v>
      </c>
      <c r="E8" s="1"/>
    </row>
    <row r="9" spans="1:5" x14ac:dyDescent="0.25">
      <c r="A9" s="1">
        <v>7</v>
      </c>
      <c r="B9" s="71" t="s">
        <v>77</v>
      </c>
      <c r="C9" s="71"/>
      <c r="D9" s="71"/>
      <c r="E9" s="1"/>
    </row>
    <row r="10" spans="1:5" x14ac:dyDescent="0.25">
      <c r="A10" s="1">
        <v>8</v>
      </c>
      <c r="B10" s="26" t="s">
        <v>44</v>
      </c>
      <c r="C10" s="27"/>
      <c r="D10" s="27">
        <v>-111288.954</v>
      </c>
      <c r="E10" s="1"/>
    </row>
    <row r="11" spans="1:5" x14ac:dyDescent="0.25">
      <c r="A11" s="1">
        <v>9</v>
      </c>
      <c r="B11" s="33" t="s">
        <v>67</v>
      </c>
      <c r="C11" s="38"/>
      <c r="D11" s="38"/>
      <c r="E11" s="1"/>
    </row>
    <row r="12" spans="1:5" x14ac:dyDescent="0.25">
      <c r="A12" s="1">
        <v>10</v>
      </c>
      <c r="B12" s="30" t="s">
        <v>61</v>
      </c>
      <c r="C12" s="38"/>
      <c r="D12" s="37">
        <v>4185.21</v>
      </c>
      <c r="E12" s="1" t="s">
        <v>106</v>
      </c>
    </row>
    <row r="13" spans="1:5" x14ac:dyDescent="0.25">
      <c r="A13" s="1">
        <v>11</v>
      </c>
      <c r="B13" s="30" t="s">
        <v>20</v>
      </c>
      <c r="C13" s="38"/>
      <c r="D13" s="37">
        <v>976.37</v>
      </c>
      <c r="E13" s="1" t="s">
        <v>106</v>
      </c>
    </row>
    <row r="14" spans="1:5" x14ac:dyDescent="0.25">
      <c r="A14" s="1">
        <v>12</v>
      </c>
      <c r="B14" s="30" t="s">
        <v>21</v>
      </c>
      <c r="C14" s="38"/>
      <c r="D14" s="37">
        <v>2219.81</v>
      </c>
      <c r="E14" s="1" t="s">
        <v>106</v>
      </c>
    </row>
    <row r="15" spans="1:5" x14ac:dyDescent="0.25">
      <c r="A15" s="1">
        <v>13</v>
      </c>
      <c r="B15" s="30" t="s">
        <v>70</v>
      </c>
      <c r="C15" s="38"/>
      <c r="D15" s="37">
        <f>SUM(D12,D13,D14)*0.13</f>
        <v>959.58069999999998</v>
      </c>
      <c r="E15" s="1" t="s">
        <v>106</v>
      </c>
    </row>
    <row r="16" spans="1:5" x14ac:dyDescent="0.25">
      <c r="A16" s="1">
        <v>14</v>
      </c>
      <c r="B16" s="30" t="s">
        <v>71</v>
      </c>
      <c r="C16" s="38"/>
      <c r="D16" s="37">
        <f>SUM(D12:D15)</f>
        <v>8340.9706999999999</v>
      </c>
      <c r="E16" s="1" t="s">
        <v>158</v>
      </c>
    </row>
    <row r="17" spans="1:5" ht="16.5" customHeight="1" x14ac:dyDescent="0.25">
      <c r="A17" s="1">
        <v>15</v>
      </c>
      <c r="B17" s="40" t="s">
        <v>72</v>
      </c>
      <c r="C17" s="38"/>
      <c r="D17" s="38">
        <f>D16*12</f>
        <v>100091.64840000001</v>
      </c>
      <c r="E17" s="1" t="s">
        <v>159</v>
      </c>
    </row>
    <row r="18" spans="1:5" x14ac:dyDescent="0.25">
      <c r="A18" s="1">
        <v>16</v>
      </c>
      <c r="B18" s="6" t="s">
        <v>73</v>
      </c>
      <c r="C18" s="39">
        <f>C9+C17</f>
        <v>0</v>
      </c>
      <c r="D18" s="14">
        <f>D10+D17</f>
        <v>-11197.305599999992</v>
      </c>
      <c r="E18" s="1" t="s">
        <v>160</v>
      </c>
    </row>
  </sheetData>
  <mergeCells count="2">
    <mergeCell ref="B9:D9"/>
    <mergeCell ref="A1:E1"/>
  </mergeCells>
  <pageMargins left="0.7" right="0.7" top="0.75" bottom="0.75" header="0.3" footer="0.3"/>
  <pageSetup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B11" sqref="B11"/>
    </sheetView>
  </sheetViews>
  <sheetFormatPr defaultRowHeight="15" x14ac:dyDescent="0.25"/>
  <cols>
    <col min="2" max="2" width="56.5703125" bestFit="1" customWidth="1"/>
    <col min="3" max="3" width="13.28515625" customWidth="1"/>
    <col min="4" max="4" width="12.5703125" bestFit="1" customWidth="1"/>
    <col min="5" max="5" width="45.5703125" bestFit="1" customWidth="1"/>
  </cols>
  <sheetData>
    <row r="1" spans="1:5" x14ac:dyDescent="0.25">
      <c r="A1" s="71" t="s">
        <v>78</v>
      </c>
      <c r="B1" s="71"/>
      <c r="C1" s="71"/>
      <c r="D1" s="71"/>
      <c r="E1" s="71"/>
    </row>
    <row r="2" spans="1:5" s="9" customFormat="1" x14ac:dyDescent="0.25">
      <c r="A2" s="33" t="s">
        <v>90</v>
      </c>
      <c r="B2" s="41"/>
      <c r="C2" s="42" t="s">
        <v>3</v>
      </c>
      <c r="D2" s="42" t="s">
        <v>76</v>
      </c>
      <c r="E2" s="64" t="s">
        <v>89</v>
      </c>
    </row>
    <row r="3" spans="1:5" x14ac:dyDescent="0.25">
      <c r="A3" s="1">
        <v>1</v>
      </c>
      <c r="B3" s="30" t="s">
        <v>1</v>
      </c>
      <c r="C3" s="37">
        <v>187.07</v>
      </c>
      <c r="D3" s="37">
        <v>481.41</v>
      </c>
      <c r="E3" s="1" t="s">
        <v>108</v>
      </c>
    </row>
    <row r="4" spans="1:5" x14ac:dyDescent="0.25">
      <c r="A4" s="1">
        <v>2</v>
      </c>
      <c r="B4" s="30" t="s">
        <v>18</v>
      </c>
      <c r="C4" s="37">
        <v>-2427.6</v>
      </c>
      <c r="D4" s="37">
        <v>741.21</v>
      </c>
      <c r="E4" s="1" t="s">
        <v>108</v>
      </c>
    </row>
    <row r="5" spans="1:5" x14ac:dyDescent="0.25">
      <c r="A5" s="1">
        <v>3</v>
      </c>
      <c r="B5" s="30" t="s">
        <v>17</v>
      </c>
      <c r="C5" s="37"/>
      <c r="D5" s="37">
        <v>-274.45</v>
      </c>
      <c r="E5" s="1" t="s">
        <v>108</v>
      </c>
    </row>
    <row r="6" spans="1:5" x14ac:dyDescent="0.25">
      <c r="A6" s="1">
        <v>4</v>
      </c>
      <c r="B6" s="30" t="s">
        <v>79</v>
      </c>
      <c r="C6" s="37">
        <v>3014.76</v>
      </c>
      <c r="D6" s="37"/>
      <c r="E6" s="1" t="s">
        <v>108</v>
      </c>
    </row>
    <row r="7" spans="1:5" x14ac:dyDescent="0.25">
      <c r="A7" s="1">
        <v>5</v>
      </c>
      <c r="B7" s="30" t="s">
        <v>80</v>
      </c>
      <c r="C7" s="37">
        <v>1899.24</v>
      </c>
      <c r="D7" s="37"/>
      <c r="E7" s="1" t="s">
        <v>108</v>
      </c>
    </row>
    <row r="8" spans="1:5" x14ac:dyDescent="0.25">
      <c r="A8" s="1">
        <v>6</v>
      </c>
      <c r="B8" s="30" t="s">
        <v>81</v>
      </c>
      <c r="C8" s="37"/>
      <c r="D8" s="37">
        <v>47.56</v>
      </c>
      <c r="E8" s="1" t="s">
        <v>108</v>
      </c>
    </row>
    <row r="9" spans="1:5" x14ac:dyDescent="0.25">
      <c r="A9" s="1">
        <v>7</v>
      </c>
      <c r="B9" s="30" t="s">
        <v>0</v>
      </c>
      <c r="C9" s="37"/>
      <c r="D9" s="37">
        <v>1422.89</v>
      </c>
      <c r="E9" s="1" t="s">
        <v>108</v>
      </c>
    </row>
    <row r="10" spans="1:5" x14ac:dyDescent="0.25">
      <c r="A10" s="1">
        <v>8</v>
      </c>
      <c r="B10" s="30" t="s">
        <v>82</v>
      </c>
      <c r="C10" s="37"/>
      <c r="D10" s="37">
        <v>381.9</v>
      </c>
      <c r="E10" s="1" t="s">
        <v>108</v>
      </c>
    </row>
    <row r="11" spans="1:5" x14ac:dyDescent="0.25">
      <c r="A11" s="1">
        <v>9</v>
      </c>
      <c r="B11" s="30" t="s">
        <v>19</v>
      </c>
      <c r="C11" s="37"/>
      <c r="D11" s="37">
        <v>-541.16</v>
      </c>
      <c r="E11" s="1" t="s">
        <v>108</v>
      </c>
    </row>
    <row r="12" spans="1:5" x14ac:dyDescent="0.25">
      <c r="A12" s="1">
        <v>10</v>
      </c>
      <c r="B12" s="30" t="s">
        <v>112</v>
      </c>
      <c r="C12" s="37"/>
      <c r="D12" s="38">
        <f>SUM(D3,D4,D8,D9,D10,D11)</f>
        <v>2533.8100000000004</v>
      </c>
      <c r="E12" s="1" t="s">
        <v>161</v>
      </c>
    </row>
    <row r="13" spans="1:5" x14ac:dyDescent="0.25">
      <c r="A13" s="1">
        <v>11</v>
      </c>
      <c r="B13" s="30" t="s">
        <v>113</v>
      </c>
      <c r="C13" s="37"/>
      <c r="D13" s="38">
        <f>D12*1.13</f>
        <v>2863.2053000000001</v>
      </c>
      <c r="E13" s="1" t="s">
        <v>162</v>
      </c>
    </row>
    <row r="14" spans="1:5" x14ac:dyDescent="0.25">
      <c r="A14" s="1">
        <v>12</v>
      </c>
      <c r="B14" s="30" t="s">
        <v>25</v>
      </c>
      <c r="C14" s="37">
        <f>SUM(C3:C11)*0.13</f>
        <v>347.55110000000002</v>
      </c>
      <c r="D14" s="37">
        <f>SUM(D3:D11)*0.13</f>
        <v>293.71680000000003</v>
      </c>
      <c r="E14" s="1" t="s">
        <v>163</v>
      </c>
    </row>
    <row r="15" spans="1:5" x14ac:dyDescent="0.25">
      <c r="A15" s="1">
        <v>13</v>
      </c>
      <c r="B15" s="6" t="s">
        <v>83</v>
      </c>
      <c r="C15" s="39">
        <f>SUM(C3:C14)</f>
        <v>3021.0211000000004</v>
      </c>
      <c r="D15" s="39">
        <f>SUM(D3:D11,D14)</f>
        <v>2553.0768000000003</v>
      </c>
      <c r="E15" s="1" t="s">
        <v>164</v>
      </c>
    </row>
  </sheetData>
  <mergeCells count="1">
    <mergeCell ref="A1:E1"/>
  </mergeCells>
  <pageMargins left="0.7" right="0.7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workbookViewId="0">
      <selection activeCell="B9" sqref="B9"/>
    </sheetView>
  </sheetViews>
  <sheetFormatPr defaultRowHeight="15" x14ac:dyDescent="0.25"/>
  <cols>
    <col min="2" max="2" width="64.7109375" bestFit="1" customWidth="1"/>
    <col min="3" max="3" width="14.28515625" customWidth="1"/>
    <col min="4" max="4" width="12.5703125" bestFit="1" customWidth="1"/>
    <col min="5" max="5" width="44.7109375" bestFit="1" customWidth="1"/>
  </cols>
  <sheetData>
    <row r="1" spans="1:5" x14ac:dyDescent="0.25">
      <c r="A1" s="76" t="s">
        <v>131</v>
      </c>
      <c r="B1" s="77"/>
      <c r="C1" s="77"/>
      <c r="D1" s="77"/>
      <c r="E1" s="78"/>
    </row>
    <row r="2" spans="1:5" x14ac:dyDescent="0.25">
      <c r="A2" s="5" t="s">
        <v>90</v>
      </c>
      <c r="B2" s="41"/>
      <c r="C2" s="42" t="s">
        <v>3</v>
      </c>
      <c r="D2" s="42" t="s">
        <v>76</v>
      </c>
      <c r="E2" s="46" t="s">
        <v>89</v>
      </c>
    </row>
    <row r="3" spans="1:5" x14ac:dyDescent="0.25">
      <c r="A3" s="1">
        <v>1</v>
      </c>
      <c r="B3" s="30" t="s">
        <v>24</v>
      </c>
      <c r="C3" s="37">
        <v>1839.6</v>
      </c>
      <c r="D3" s="44">
        <v>1858</v>
      </c>
      <c r="E3" s="1" t="s">
        <v>150</v>
      </c>
    </row>
    <row r="4" spans="1:5" x14ac:dyDescent="0.25">
      <c r="A4" s="1">
        <v>2</v>
      </c>
      <c r="B4" s="30" t="s">
        <v>23</v>
      </c>
      <c r="C4" s="37">
        <v>0.25</v>
      </c>
      <c r="D4" s="44">
        <v>0.25</v>
      </c>
      <c r="E4" s="1" t="s">
        <v>150</v>
      </c>
    </row>
    <row r="5" spans="1:5" x14ac:dyDescent="0.25">
      <c r="A5" s="1">
        <v>3</v>
      </c>
      <c r="B5" s="30" t="s">
        <v>84</v>
      </c>
      <c r="C5" s="37">
        <f>(C3+C4)*0.13</f>
        <v>239.18049999999999</v>
      </c>
      <c r="D5" s="37">
        <f>(D3+D4)*0.13</f>
        <v>241.57250000000002</v>
      </c>
      <c r="E5" s="1" t="s">
        <v>150</v>
      </c>
    </row>
    <row r="6" spans="1:5" x14ac:dyDescent="0.25">
      <c r="A6" s="1">
        <v>4</v>
      </c>
      <c r="B6" s="30" t="s">
        <v>86</v>
      </c>
      <c r="C6" s="38">
        <f>SUM(C3:C5)</f>
        <v>2079.0304999999998</v>
      </c>
      <c r="D6" s="38">
        <f>SUM(D3:D5)</f>
        <v>2099.8225000000002</v>
      </c>
      <c r="E6" s="1" t="s">
        <v>150</v>
      </c>
    </row>
    <row r="7" spans="1:5" x14ac:dyDescent="0.25">
      <c r="A7" s="1">
        <v>5</v>
      </c>
      <c r="B7" s="26" t="s">
        <v>85</v>
      </c>
      <c r="C7" s="27">
        <f>C6*12</f>
        <v>24948.365999999998</v>
      </c>
      <c r="D7" s="27">
        <f>D6*12</f>
        <v>25197.870000000003</v>
      </c>
      <c r="E7" s="1" t="s">
        <v>152</v>
      </c>
    </row>
    <row r="8" spans="1:5" x14ac:dyDescent="0.25">
      <c r="A8" s="1">
        <v>6</v>
      </c>
      <c r="B8" s="71" t="s">
        <v>77</v>
      </c>
      <c r="C8" s="71"/>
      <c r="D8" s="71"/>
      <c r="E8" s="1"/>
    </row>
    <row r="9" spans="1:5" x14ac:dyDescent="0.25">
      <c r="A9" s="1">
        <v>7</v>
      </c>
      <c r="B9" s="26" t="s">
        <v>85</v>
      </c>
      <c r="C9" s="27">
        <f>-C7</f>
        <v>-24948.365999999998</v>
      </c>
      <c r="D9" s="27">
        <f>-D7</f>
        <v>-25197.870000000003</v>
      </c>
      <c r="E9" s="1"/>
    </row>
    <row r="10" spans="1:5" x14ac:dyDescent="0.25">
      <c r="A10" s="1">
        <v>8</v>
      </c>
      <c r="B10" s="30" t="s">
        <v>24</v>
      </c>
      <c r="C10" s="37">
        <v>1839.6</v>
      </c>
      <c r="D10" s="44">
        <v>1858</v>
      </c>
      <c r="E10" s="1" t="s">
        <v>150</v>
      </c>
    </row>
    <row r="11" spans="1:5" x14ac:dyDescent="0.25">
      <c r="A11" s="1">
        <v>9</v>
      </c>
      <c r="B11" s="30" t="s">
        <v>23</v>
      </c>
      <c r="C11" s="37">
        <v>0.25</v>
      </c>
      <c r="D11" s="44">
        <v>0.25</v>
      </c>
      <c r="E11" s="1" t="s">
        <v>150</v>
      </c>
    </row>
    <row r="12" spans="1:5" x14ac:dyDescent="0.25">
      <c r="A12" s="1">
        <v>10</v>
      </c>
      <c r="B12" s="30" t="s">
        <v>84</v>
      </c>
      <c r="C12" s="37">
        <f>(C10+C11)*0.13</f>
        <v>239.18049999999999</v>
      </c>
      <c r="D12" s="37">
        <f>(D10+D11)*0.13</f>
        <v>241.57250000000002</v>
      </c>
      <c r="E12" s="1" t="s">
        <v>150</v>
      </c>
    </row>
    <row r="13" spans="1:5" x14ac:dyDescent="0.25">
      <c r="A13" s="1">
        <v>11</v>
      </c>
      <c r="B13" s="30" t="s">
        <v>86</v>
      </c>
      <c r="C13" s="38">
        <f>SUM(C10:C12)</f>
        <v>2079.0304999999998</v>
      </c>
      <c r="D13" s="38">
        <f>SUM(D10:D12)</f>
        <v>2099.8225000000002</v>
      </c>
      <c r="E13" s="1" t="s">
        <v>150</v>
      </c>
    </row>
    <row r="14" spans="1:5" x14ac:dyDescent="0.25">
      <c r="A14" s="1">
        <v>12</v>
      </c>
      <c r="B14" s="33" t="s">
        <v>85</v>
      </c>
      <c r="C14" s="38">
        <f>C13*12</f>
        <v>24948.365999999998</v>
      </c>
      <c r="D14" s="38">
        <f>D13*12</f>
        <v>25197.870000000003</v>
      </c>
      <c r="E14" s="1" t="s">
        <v>152</v>
      </c>
    </row>
    <row r="15" spans="1:5" x14ac:dyDescent="0.25">
      <c r="A15" s="1">
        <v>13</v>
      </c>
      <c r="B15" s="6" t="s">
        <v>87</v>
      </c>
      <c r="C15" s="45">
        <f>C9+C14</f>
        <v>0</v>
      </c>
      <c r="D15" s="45">
        <f>D9+D14</f>
        <v>0</v>
      </c>
      <c r="E15" s="1" t="s">
        <v>153</v>
      </c>
    </row>
  </sheetData>
  <mergeCells count="2">
    <mergeCell ref="B8:D8"/>
    <mergeCell ref="A1:E1"/>
  </mergeCells>
  <pageMargins left="0.7" right="0.7" top="0.75" bottom="0.75" header="0.3" footer="0.3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workbookViewId="0">
      <selection activeCell="I17" sqref="I17"/>
    </sheetView>
  </sheetViews>
  <sheetFormatPr defaultRowHeight="15" x14ac:dyDescent="0.25"/>
  <cols>
    <col min="1" max="1" width="35.85546875" customWidth="1"/>
    <col min="2" max="2" width="6.85546875" customWidth="1"/>
    <col min="4" max="4" width="10.5703125" bestFit="1" customWidth="1"/>
    <col min="5" max="5" width="12.5703125" bestFit="1" customWidth="1"/>
  </cols>
  <sheetData>
    <row r="1" spans="1:5" x14ac:dyDescent="0.25">
      <c r="A1" s="83" t="s">
        <v>93</v>
      </c>
      <c r="B1" s="84"/>
      <c r="C1" s="84"/>
      <c r="D1" s="84"/>
      <c r="E1" s="85"/>
    </row>
    <row r="2" spans="1:5" x14ac:dyDescent="0.25">
      <c r="A2" s="61"/>
      <c r="B2" s="62"/>
      <c r="C2" s="62"/>
      <c r="D2" s="62"/>
      <c r="E2" s="63"/>
    </row>
    <row r="3" spans="1:5" x14ac:dyDescent="0.25">
      <c r="A3" s="26" t="s">
        <v>149</v>
      </c>
      <c r="B3" s="70">
        <v>1253</v>
      </c>
      <c r="C3" s="26"/>
      <c r="D3" s="26"/>
      <c r="E3" s="26"/>
    </row>
    <row r="4" spans="1:5" x14ac:dyDescent="0.25">
      <c r="A4" s="1"/>
      <c r="B4" s="80"/>
      <c r="C4" s="46" t="s">
        <v>32</v>
      </c>
      <c r="D4" s="46" t="s">
        <v>30</v>
      </c>
      <c r="E4" s="46" t="s">
        <v>31</v>
      </c>
    </row>
    <row r="5" spans="1:5" x14ac:dyDescent="0.25">
      <c r="A5" s="5" t="s">
        <v>27</v>
      </c>
      <c r="B5" s="81"/>
      <c r="C5" s="4">
        <v>3.66</v>
      </c>
      <c r="D5" s="4">
        <f>C5*$B$3</f>
        <v>4585.9800000000005</v>
      </c>
      <c r="E5" s="4">
        <f>D5*12</f>
        <v>55031.760000000009</v>
      </c>
    </row>
    <row r="6" spans="1:5" x14ac:dyDescent="0.25">
      <c r="A6" s="5" t="s">
        <v>28</v>
      </c>
      <c r="B6" s="81"/>
      <c r="C6" s="4">
        <v>0.87</v>
      </c>
      <c r="D6" s="4">
        <f t="shared" ref="D6:D7" si="0">C6*$B$3</f>
        <v>1090.1099999999999</v>
      </c>
      <c r="E6" s="4">
        <f t="shared" ref="E6:E7" si="1">D6*12</f>
        <v>13081.32</v>
      </c>
    </row>
    <row r="7" spans="1:5" x14ac:dyDescent="0.25">
      <c r="A7" s="5" t="s">
        <v>29</v>
      </c>
      <c r="B7" s="81"/>
      <c r="C7" s="4">
        <v>2.02</v>
      </c>
      <c r="D7" s="4">
        <f t="shared" si="0"/>
        <v>2531.06</v>
      </c>
      <c r="E7" s="4">
        <f t="shared" si="1"/>
        <v>30372.720000000001</v>
      </c>
    </row>
    <row r="8" spans="1:5" x14ac:dyDescent="0.25">
      <c r="A8" s="5" t="s">
        <v>94</v>
      </c>
      <c r="B8" s="81"/>
      <c r="C8" s="1"/>
      <c r="D8" s="4">
        <f>SUM(D5:D7)</f>
        <v>8207.15</v>
      </c>
      <c r="E8" s="4">
        <f>D8*12</f>
        <v>98485.799999999988</v>
      </c>
    </row>
    <row r="9" spans="1:5" x14ac:dyDescent="0.25">
      <c r="A9" s="5" t="s">
        <v>95</v>
      </c>
      <c r="B9" s="82"/>
      <c r="C9" s="1"/>
      <c r="D9" s="2">
        <f>D8*1.13</f>
        <v>9274.079499999998</v>
      </c>
      <c r="E9" s="2">
        <f>E8*1.13</f>
        <v>111288.95399999998</v>
      </c>
    </row>
  </sheetData>
  <mergeCells count="2">
    <mergeCell ref="B4:B9"/>
    <mergeCell ref="A1:E1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EB-2016-0155</Case_x0020_Number_x002f_Docket_x0020_Number>
    <Issue_x0020_Date xmlns="f9175001-c430-4d57-adde-c1c10539e919">2017-02-14T05:00:00+00:00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Case_x0020_Type xmlns="f9175001-c430-4d57-adde-c1c10539e919">Electricity</Case_x0020_Type>
    <Document_x0020_Type xmlns="f9175001-c430-4d57-adde-c1c10539e919">Undertaking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3B56CC244F57B469E4DF355E1317793" ma:contentTypeVersion="16" ma:contentTypeDescription="Meta data that will be applied to all documents added to the proceeding document folder" ma:contentTypeScope="" ma:versionID="f7222e2a460825bf4f63547a4f130054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ed1632bf2f1b7284e5b7ae3075c802ff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9A7EFE-FBE0-44F7-BF48-C2861ECCB35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ea909525-6dd5-47d7-9eed-71e77e5cedc6"/>
    <ds:schemaRef ds:uri="f0af1d65-dfd0-4b99-b523-def3a954563f"/>
    <ds:schemaRef ds:uri="31a38067-a042-4e0e-9037-517587b10700"/>
    <ds:schemaRef ds:uri="http://www.w3.org/XML/1998/namespace"/>
    <ds:schemaRef ds:uri="http://schemas.openxmlformats.org/package/2006/metadata/core-properties"/>
    <ds:schemaRef ds:uri="f9175001-c430-4d57-adde-c1c10539e91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F45D5C2-82CC-4643-A61F-793288AFB8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259A38-CF6E-4BD0-8E01-DEF8B26B3C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Sheet</vt:lpstr>
      <vt:lpstr>IESO Annual Cost</vt:lpstr>
      <vt:lpstr>Embedded Costs</vt:lpstr>
      <vt:lpstr>HONI TX</vt:lpstr>
      <vt:lpstr>Remaining Cx Dx Revenue</vt:lpstr>
      <vt:lpstr>Debt Retirement and SSA</vt:lpstr>
      <vt:lpstr>HONI Tx Charges on HONI Dx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1</dc:title>
  <dc:creator>CATALANO Pasquale</dc:creator>
  <cp:lastModifiedBy>LEE Julie(Qiu Ling)</cp:lastModifiedBy>
  <cp:lastPrinted>2017-02-14T20:26:02Z</cp:lastPrinted>
  <dcterms:created xsi:type="dcterms:W3CDTF">2017-01-27T21:22:36Z</dcterms:created>
  <dcterms:modified xsi:type="dcterms:W3CDTF">2017-02-14T21:37:50Z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0x01010061EC7F66509FFD4DA0B1B261A86BE7730043B56CC244F57B469E4DF355E1317793</vt:lpwstr>
  </property>
</Properties>
</file>