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OS_RES_CUSTOMERS">Sheet1!$F$12</definedName>
    <definedName name="COS_RES_KWH">Sheet1!$F$13</definedName>
    <definedName name="YRS_LEFT">Sheet1!$F$14</definedName>
  </definedNames>
  <calcPr calcId="145621" iterate="1"/>
</workbook>
</file>

<file path=xl/calcChain.xml><?xml version="1.0" encoding="utf-8"?>
<calcChain xmlns="http://schemas.openxmlformats.org/spreadsheetml/2006/main">
  <c r="O18" i="1" l="1"/>
  <c r="O19" i="1"/>
  <c r="O20" i="1"/>
  <c r="O21" i="1"/>
  <c r="O22" i="1"/>
  <c r="O23" i="1"/>
  <c r="O24" i="1"/>
  <c r="O17" i="1"/>
  <c r="M18" i="1"/>
  <c r="M19" i="1"/>
  <c r="M20" i="1"/>
  <c r="M21" i="1"/>
  <c r="M22" i="1"/>
  <c r="M23" i="1"/>
  <c r="M24" i="1"/>
  <c r="M17" i="1"/>
  <c r="E45" i="1" l="1"/>
  <c r="E44" i="1"/>
  <c r="E40" i="1"/>
  <c r="E47" i="1" s="1"/>
  <c r="C44" i="1"/>
  <c r="C38" i="1"/>
  <c r="C47" i="1" s="1"/>
  <c r="E37" i="3"/>
  <c r="D37" i="3"/>
  <c r="C37" i="3"/>
  <c r="K25" i="3"/>
  <c r="E25" i="3"/>
  <c r="D25" i="3"/>
  <c r="C25" i="3"/>
  <c r="K24" i="3"/>
  <c r="J24" i="3"/>
  <c r="I24" i="3"/>
  <c r="K23" i="3"/>
  <c r="J23" i="3"/>
  <c r="I23" i="3"/>
  <c r="K22" i="3"/>
  <c r="J22" i="3"/>
  <c r="I22" i="3"/>
  <c r="K21" i="3"/>
  <c r="J21" i="3"/>
  <c r="I21" i="3"/>
  <c r="K20" i="3"/>
  <c r="J20" i="3"/>
  <c r="I20" i="3"/>
  <c r="K19" i="3"/>
  <c r="J19" i="3"/>
  <c r="I19" i="3"/>
  <c r="K18" i="3"/>
  <c r="J18" i="3"/>
  <c r="I18" i="3"/>
  <c r="K17" i="3"/>
  <c r="J17" i="3"/>
  <c r="J25" i="3" s="1"/>
  <c r="I17" i="3"/>
  <c r="T27" i="2"/>
  <c r="R28" i="2" s="1"/>
  <c r="S25" i="2"/>
  <c r="R25" i="2"/>
  <c r="Q25" i="2"/>
  <c r="P25" i="2"/>
  <c r="O25" i="2"/>
  <c r="N25" i="2"/>
  <c r="M25" i="2"/>
  <c r="L25" i="2"/>
  <c r="K25" i="2"/>
  <c r="H25" i="2"/>
  <c r="G25" i="2"/>
  <c r="F25" i="2"/>
  <c r="E25" i="2"/>
  <c r="D25" i="2"/>
  <c r="C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I25" i="2" s="1"/>
  <c r="J17" i="2"/>
  <c r="J25" i="2" s="1"/>
  <c r="I17" i="2"/>
  <c r="B29" i="1"/>
  <c r="C29" i="1" s="1"/>
  <c r="B28" i="1"/>
  <c r="C28" i="1" s="1"/>
  <c r="G25" i="1"/>
  <c r="B14" i="1"/>
  <c r="D13" i="1" s="1"/>
  <c r="M23" i="3" l="1"/>
  <c r="M18" i="3"/>
  <c r="M24" i="3"/>
  <c r="M19" i="3"/>
  <c r="L17" i="3"/>
  <c r="L18" i="3"/>
  <c r="L19" i="3"/>
  <c r="L20" i="3"/>
  <c r="L21" i="3"/>
  <c r="L22" i="3"/>
  <c r="L23" i="3"/>
  <c r="L24" i="3"/>
  <c r="I25" i="3"/>
  <c r="D28" i="1"/>
  <c r="E28" i="1" s="1"/>
  <c r="C30" i="1"/>
  <c r="D29" i="1" s="1"/>
  <c r="F24" i="1"/>
  <c r="G21" i="1"/>
  <c r="H18" i="1"/>
  <c r="H23" i="1"/>
  <c r="F21" i="1"/>
  <c r="G18" i="1"/>
  <c r="G23" i="1"/>
  <c r="H20" i="1"/>
  <c r="F18" i="1"/>
  <c r="G22" i="1"/>
  <c r="F17" i="1"/>
  <c r="H24" i="1"/>
  <c r="G19" i="1"/>
  <c r="G24" i="1"/>
  <c r="H21" i="1"/>
  <c r="F19" i="1"/>
  <c r="F23" i="1"/>
  <c r="G20" i="1"/>
  <c r="H22" i="1"/>
  <c r="F20" i="1"/>
  <c r="H19" i="1"/>
  <c r="F22" i="1"/>
  <c r="O22" i="3" l="1"/>
  <c r="N22" i="3"/>
  <c r="P21" i="3"/>
  <c r="E33" i="3" s="1"/>
  <c r="O21" i="3"/>
  <c r="N21" i="3"/>
  <c r="O20" i="3"/>
  <c r="N20" i="3"/>
  <c r="M21" i="3"/>
  <c r="O19" i="3"/>
  <c r="N19" i="3"/>
  <c r="O18" i="3"/>
  <c r="N18" i="3"/>
  <c r="N17" i="3"/>
  <c r="L25" i="3"/>
  <c r="P20" i="3" s="1"/>
  <c r="E32" i="3" s="1"/>
  <c r="O17" i="3"/>
  <c r="M20" i="3"/>
  <c r="P24" i="3"/>
  <c r="E36" i="3" s="1"/>
  <c r="O24" i="3"/>
  <c r="N24" i="3"/>
  <c r="M17" i="3"/>
  <c r="O23" i="3"/>
  <c r="P23" i="3"/>
  <c r="E35" i="3" s="1"/>
  <c r="N23" i="3"/>
  <c r="M22" i="3"/>
  <c r="F28" i="1"/>
  <c r="G28" i="1"/>
  <c r="P19" i="3" l="1"/>
  <c r="E31" i="3" s="1"/>
  <c r="P17" i="3"/>
  <c r="P22" i="3"/>
  <c r="E34" i="3" s="1"/>
  <c r="P18" i="3"/>
  <c r="E30" i="3" s="1"/>
  <c r="G29" i="1"/>
  <c r="H29" i="1" s="1"/>
  <c r="H28" i="1"/>
  <c r="E29" i="3" l="1"/>
  <c r="P25" i="3"/>
  <c r="I29" i="1"/>
  <c r="H17" i="1"/>
  <c r="A33" i="1"/>
  <c r="G17" i="1"/>
  <c r="I28" i="1"/>
  <c r="I30" i="1" l="1"/>
</calcChain>
</file>

<file path=xl/sharedStrings.xml><?xml version="1.0" encoding="utf-8"?>
<sst xmlns="http://schemas.openxmlformats.org/spreadsheetml/2006/main" count="182" uniqueCount="115">
  <si>
    <t>NO</t>
  </si>
  <si>
    <t xml:space="preserve">If applicable, please enter any adjustments related to the revenue to cost ratio model into columns C and E.  The Price Escalator and Stretch Factor have been set at the 2016 values and will be updated by OEB staff at a later date. </t>
  </si>
  <si>
    <t>Price Escalator</t>
  </si>
  <si>
    <t>Productivity Factor</t>
  </si>
  <si>
    <t xml:space="preserve"># of Residential Customers
(approved in the last CoS)
</t>
  </si>
  <si>
    <t>Effective Year of Residential Rate Design Transition (yyyy)</t>
  </si>
  <si>
    <t>Choose Stretch Factor Group</t>
  </si>
  <si>
    <t>III</t>
  </si>
  <si>
    <t>Price Cap Index</t>
  </si>
  <si>
    <t xml:space="preserve">Billed kWh for Residential Class
(approved in the last CoS)
</t>
  </si>
  <si>
    <t>OEB-approved # of Transition Years</t>
  </si>
  <si>
    <t>Associated Stretch Factor Value</t>
  </si>
  <si>
    <t>Rate Design Transition Years Left</t>
  </si>
  <si>
    <t>Rate Class</t>
  </si>
  <si>
    <t>Current MFC</t>
  </si>
  <si>
    <t>MFC Adjustment from R/C Model</t>
  </si>
  <si>
    <t>Current  Volumetric Charge</t>
  </si>
  <si>
    <t>DVR Adjustment from R/C Model</t>
  </si>
  <si>
    <t>Price Cap Index to be Applied to MFC and DVR</t>
  </si>
  <si>
    <t>Proposed MFC</t>
  </si>
  <si>
    <t>Proposed Volumetric Charge</t>
  </si>
  <si>
    <t>RESIDENTIAL SERVICE CLASSIFICATION</t>
  </si>
  <si>
    <t>GENERAL SERVICE LESS THAN 50 kW SERVICE CLASSIFICATION</t>
  </si>
  <si>
    <t>GENERAL SERVICE 50 to 999 kW SERVICE CLASSIFICATION</t>
  </si>
  <si>
    <t>GENERAL SERVICE 1,000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</si>
  <si>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</si>
  <si>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</si>
  <si>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</si>
  <si>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</si>
  <si>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microFIT SERVICE CLASSIFICATION</t>
  </si>
  <si>
    <t>Rate Design Transition</t>
  </si>
  <si>
    <t>Revenue from Rates</t>
  </si>
  <si>
    <t>Current F/V Split</t>
  </si>
  <si>
    <t>Decoupling MFC Split</t>
  </si>
  <si>
    <t>Incremental Fixed Charge ($/month/year)</t>
  </si>
  <si>
    <t>New F/V Split</t>
  </si>
  <si>
    <r>
      <t>Adjusted Rates</t>
    </r>
    <r>
      <rPr>
        <b/>
        <vertAlign val="superscript"/>
        <sz val="10"/>
        <color theme="1"/>
        <rFont val="Arial"/>
        <family val="2"/>
      </rPr>
      <t>1</t>
    </r>
  </si>
  <si>
    <t xml:space="preserve">Revenue at New F/V Split </t>
  </si>
  <si>
    <t>Current Residential Fixed Rate (inclusive of R/C adj.)</t>
  </si>
  <si>
    <t>Current Residential Variable Rate (inclusive of R/C adj.)</t>
  </si>
  <si>
    <r>
      <t>1</t>
    </r>
    <r>
      <rPr>
        <sz val="11"/>
        <color theme="1"/>
        <rFont val="Calibri"/>
        <family val="2"/>
        <scheme val="minor"/>
      </rPr>
      <t xml:space="preserve"> These are the residential rates to which the Price Cap Index will be applied to.</t>
    </r>
  </si>
  <si>
    <t>YES</t>
  </si>
  <si>
    <r>
      <t xml:space="preserve">Total Metered </t>
    </r>
    <r>
      <rPr>
        <b/>
        <sz val="10"/>
        <color rgb="FFFF0000"/>
        <rFont val="Arial"/>
        <family val="2"/>
      </rPr>
      <t>kWh</t>
    </r>
  </si>
  <si>
    <r>
      <t xml:space="preserve">Total Metered </t>
    </r>
    <r>
      <rPr>
        <b/>
        <sz val="10"/>
        <color rgb="FFFF0000"/>
        <rFont val="Arial"/>
        <family val="2"/>
      </rPr>
      <t>kW</t>
    </r>
  </si>
  <si>
    <r>
      <t xml:space="preserve">Metered </t>
    </r>
    <r>
      <rPr>
        <b/>
        <sz val="10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Non-RPP Customers</t>
    </r>
  </si>
  <si>
    <r>
      <t xml:space="preserve">Metered </t>
    </r>
    <r>
      <rPr>
        <b/>
        <sz val="10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Non-RPP Customers</t>
    </r>
  </si>
  <si>
    <r>
      <t xml:space="preserve">Metered </t>
    </r>
    <r>
      <rPr>
        <b/>
        <sz val="11"/>
        <color rgb="FFFF0000"/>
        <rFont val="Arial"/>
        <family val="2"/>
      </rPr>
      <t>kWh</t>
    </r>
    <r>
      <rPr>
        <b/>
        <sz val="10"/>
        <rFont val="Arial"/>
        <family val="2"/>
      </rPr>
      <t xml:space="preserve"> for Wholesale Market Participants (WMP)</t>
    </r>
  </si>
  <si>
    <r>
      <t xml:space="preserve">Metered </t>
    </r>
    <r>
      <rPr>
        <b/>
        <sz val="11"/>
        <color rgb="FFFF0000"/>
        <rFont val="Arial"/>
        <family val="2"/>
      </rPr>
      <t>kW</t>
    </r>
    <r>
      <rPr>
        <b/>
        <sz val="10"/>
        <rFont val="Arial"/>
        <family val="2"/>
      </rPr>
      <t xml:space="preserve"> for Wholesale Market Participants (WMP)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</si>
  <si>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kWh </t>
    </r>
    <r>
      <rPr>
        <b/>
        <sz val="10"/>
        <rFont val="Arial"/>
        <family val="2"/>
      </rPr>
      <t xml:space="preserve">less WMP consumption
</t>
    </r>
    <r>
      <rPr>
        <b/>
        <i/>
        <sz val="10"/>
        <rFont val="Arial"/>
        <family val="2"/>
      </rPr>
      <t>(if applicable)</t>
    </r>
  </si>
  <si>
    <r>
      <t xml:space="preserve">Total Metered </t>
    </r>
    <r>
      <rPr>
        <b/>
        <sz val="10"/>
        <color rgb="FFFF0000"/>
        <rFont val="Arial"/>
        <family val="2"/>
      </rPr>
      <t xml:space="preserve">kW </t>
    </r>
    <r>
      <rPr>
        <b/>
        <sz val="10"/>
        <rFont val="Arial"/>
        <family val="2"/>
      </rPr>
      <t xml:space="preserve">less WMP consumption 
</t>
    </r>
    <r>
      <rPr>
        <b/>
        <i/>
        <sz val="10"/>
        <rFont val="Arial"/>
        <family val="2"/>
      </rPr>
      <t>(if applicable)</t>
    </r>
  </si>
  <si>
    <r>
      <t xml:space="preserve">1595 Recovery Proportion (2009) </t>
    </r>
    <r>
      <rPr>
        <b/>
        <vertAlign val="superscript"/>
        <sz val="10"/>
        <rFont val="Arial"/>
        <family val="2"/>
      </rPr>
      <t>1</t>
    </r>
  </si>
  <si>
    <r>
      <t xml:space="preserve">1595 Recovery Proportion (2010) </t>
    </r>
    <r>
      <rPr>
        <b/>
        <vertAlign val="superscript"/>
        <sz val="10"/>
        <rFont val="Arial"/>
        <family val="2"/>
      </rPr>
      <t>1</t>
    </r>
  </si>
  <si>
    <r>
      <t xml:space="preserve">1595 Recovery Proportion (2011) </t>
    </r>
    <r>
      <rPr>
        <b/>
        <vertAlign val="superscript"/>
        <sz val="10"/>
        <rFont val="Arial"/>
        <family val="2"/>
      </rPr>
      <t>1</t>
    </r>
  </si>
  <si>
    <r>
      <t xml:space="preserve">1595 Recovery Proportion (2012) </t>
    </r>
    <r>
      <rPr>
        <b/>
        <vertAlign val="superscript"/>
        <sz val="10"/>
        <rFont val="Arial"/>
        <family val="2"/>
      </rPr>
      <t>1</t>
    </r>
  </si>
  <si>
    <r>
      <t xml:space="preserve">1595 Recovery Proportion (2013) </t>
    </r>
    <r>
      <rPr>
        <b/>
        <vertAlign val="superscript"/>
        <sz val="10"/>
        <rFont val="Arial"/>
        <family val="2"/>
      </rPr>
      <t>1</t>
    </r>
  </si>
  <si>
    <r>
      <t xml:space="preserve">1595 Recovery Proportion (2014) </t>
    </r>
    <r>
      <rPr>
        <b/>
        <vertAlign val="superscript"/>
        <sz val="10"/>
        <rFont val="Arial"/>
        <family val="2"/>
      </rPr>
      <t>1</t>
    </r>
  </si>
  <si>
    <r>
      <t xml:space="preserve">1595 Recovery Proportion (2015) </t>
    </r>
    <r>
      <rPr>
        <b/>
        <vertAlign val="superscript"/>
        <sz val="10"/>
        <rFont val="Arial"/>
        <family val="2"/>
      </rPr>
      <t>1</t>
    </r>
  </si>
  <si>
    <r>
      <t xml:space="preserve">1568 LRAM Variance Account Class Allocation                           </t>
    </r>
    <r>
      <rPr>
        <b/>
        <sz val="10"/>
        <color rgb="FFFF0000"/>
        <rFont val="Arial"/>
        <family val="2"/>
      </rPr>
      <t>($ amounts)</t>
    </r>
  </si>
  <si>
    <r>
      <t>Number of Customers for Residential and GS&lt;50 classes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</si>
  <si>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Unit</t>
  </si>
  <si>
    <t>kWh</t>
  </si>
  <si>
    <t>kW</t>
  </si>
  <si>
    <t>Total</t>
  </si>
  <si>
    <t>Threshold Test</t>
  </si>
  <si>
    <t>1568 Account Balance from Continuity Schedule</t>
  </si>
  <si>
    <t>Total Claim (including Account 1568)</t>
  </si>
  <si>
    <t>Total Claim for Threshold Test (All Group 1 Accounts)</t>
  </si>
  <si>
    <r>
      <t xml:space="preserve">Threshold Test (Total claim per kWh) </t>
    </r>
    <r>
      <rPr>
        <b/>
        <vertAlign val="superscript"/>
        <sz val="10"/>
        <color theme="1"/>
        <rFont val="Arial"/>
        <family val="2"/>
      </rPr>
      <t>2</t>
    </r>
  </si>
  <si>
    <r>
      <t>1</t>
    </r>
    <r>
      <rPr>
        <sz val="11"/>
        <color theme="1"/>
        <rFont val="Calibri"/>
        <family val="2"/>
        <scheme val="minor"/>
      </rPr>
      <t xml:space="preserve"> Residual Account balance to be allocated to rate classes in proportion to the recovery share as established when rate riders were implemented.</t>
    </r>
  </si>
  <si>
    <r>
      <t>2</t>
    </r>
    <r>
      <rPr>
        <sz val="11"/>
        <color theme="1"/>
        <rFont val="Calibri"/>
        <family val="2"/>
        <scheme val="minor"/>
      </rPr>
      <t xml:space="preserve"> The Threshold Test does not include the amount in 1568.</t>
    </r>
  </si>
  <si>
    <r>
      <t>3</t>
    </r>
    <r>
      <rPr>
        <sz val="11"/>
        <color theme="1"/>
        <rFont val="Calibri"/>
        <family val="2"/>
        <scheme val="minor"/>
      </rPr>
      <t xml:space="preserve"> The proportion of customers for the Residential and GS&lt;50 Classes will be used to allocate Account 1551.</t>
    </r>
  </si>
  <si>
    <t>Calculation of Rebased Revenue Requirement and Allocation of Tax Sharing Amount.  Enter data from the last OEB-Approved Cost of Service application in columns C through H.</t>
  </si>
  <si>
    <t>As per Chapter 3 Filing Requirements, shared tax rate riders are based on a 1 year disposition.</t>
  </si>
  <si>
    <t>Re-based Billed Customers or Connections</t>
  </si>
  <si>
    <t>Re-based Billed kWh</t>
  </si>
  <si>
    <t>Re-based Billed kW</t>
  </si>
  <si>
    <t>Re-baed Service Charge</t>
  </si>
  <si>
    <t>Re-based Distribution Volumetric Rate kWh</t>
  </si>
  <si>
    <t>Re-based Distribution Volumetric Rate kW</t>
  </si>
  <si>
    <t>Service Charge Revenue</t>
  </si>
  <si>
    <t>Distribution Volumetric Rate Revenue 
kWh</t>
  </si>
  <si>
    <t>Distribution Volumetric Rate Revenue 
kW</t>
  </si>
  <si>
    <t>Revenue Requirement from Rates</t>
  </si>
  <si>
    <t>Service Charge 
% Revenue</t>
  </si>
  <si>
    <t>Distribution Volumetric Rate 
% Revenue 
kWh</t>
  </si>
  <si>
    <t>Distribution Volumetric Rate 
% Revenue 
kW</t>
  </si>
  <si>
    <t>Total % Revenue</t>
  </si>
  <si>
    <t>A</t>
  </si>
  <si>
    <t>B</t>
  </si>
  <si>
    <t>C</t>
  </si>
  <si>
    <t>D</t>
  </si>
  <si>
    <t>E</t>
  </si>
  <si>
    <t>F</t>
  </si>
  <si>
    <t>G = A * D *12</t>
  </si>
  <si>
    <t>H = B * E</t>
  </si>
  <si>
    <t>I = C * F</t>
  </si>
  <si>
    <t>J = G + H + I</t>
  </si>
  <si>
    <t>K = G / J</t>
  </si>
  <si>
    <t>L = H / J</t>
  </si>
  <si>
    <t>M = I / J</t>
  </si>
  <si>
    <t>N = J / R</t>
  </si>
  <si>
    <t>Total kWh
(most recent RRR filing)</t>
  </si>
  <si>
    <t>Total kW
(most recent RRR filing)</t>
  </si>
  <si>
    <t>Allocation of Tax Savings by Rate Class</t>
  </si>
  <si>
    <t>Distribution Rate Rider</t>
  </si>
  <si>
    <t>$/customer</t>
  </si>
  <si>
    <t>If the allocated tax sharing amount does not produce a rate rider in one or more rate class (except for the Standby rate class), a distributor is required to transfer the entire OEB-approved tax sharing amount into account 1595 for disposition at a later date (see Filing Requirements, Appendix B)</t>
  </si>
  <si>
    <t>Residential</t>
  </si>
  <si>
    <t>GS &lt; 50 kW</t>
  </si>
  <si>
    <t>GS &gt;50 to 999 kW</t>
  </si>
  <si>
    <t>GS &gt;1000 to 4999 kW</t>
  </si>
  <si>
    <t>Large Use</t>
  </si>
  <si>
    <t>Sentinel Lights</t>
  </si>
  <si>
    <t>Street Lighting</t>
  </si>
  <si>
    <t>Unmetered and Scattered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</si>
</sst>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;[Red]\-&quot;$&quot;#,##0"/>
    <numFmt numFmtId="43" formatCode="_-* #,##0.00_-;\-* #,##0.00_-;_-* &quot;-&quot;??_-;_-@_-"/>
    <numFmt numFmtId="165" formatCode="_-* #,##0_-;\-* #,##0_-;_-* &quot;-&quot;??_-;_-@_-"/>
    <numFmt numFmtId="166" formatCode="#,##0_ ;\-#,##0\ "/>
    <numFmt numFmtId="167" formatCode="#,##0.0000"/>
    <numFmt numFmtId="168" formatCode="0.0%"/>
    <numFmt numFmtId="169" formatCode="0.0000"/>
    <numFmt numFmtId="170" formatCode="#,##0;[Red]\(#,##0\)"/>
    <numFmt numFmtId="171" formatCode="&quot;$&quot;#,##0"/>
    <numFmt numFmtId="172" formatCode="&quot;$&quot;#,##0;[Red]\(&quot;$&quot;#,##0\)"/>
    <numFmt numFmtId="173" formatCode="&quot;$&quot;#,##0.0000;[Red]\(&quot;$&quot;#,##0.0000\)"/>
    <numFmt numFmtId="175" formatCode="#,###"/>
    <numFmt numFmtId="176" formatCode="0.00;[Red]\-0.00"/>
    <numFmt numFmtId="177" formatCode="0.0000;[Red]\-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2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rgb="FFFF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159">
    <xf numFmtId="0" fontId="0" fillId="0" borderId="0" xfId="0"/>
    <xf numFmtId="0" fontId="0" fillId="0" borderId="0" xfId="0" applyProtection="1"/>
    <xf numFmtId="0" fontId="2" fillId="2" borderId="0" xfId="3" applyFont="1" applyFill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/>
    </xf>
    <xf numFmtId="0" fontId="0" fillId="0" borderId="0" xfId="0" applyFont="1" applyProtection="1"/>
    <xf numFmtId="0" fontId="6" fillId="0" borderId="0" xfId="0" applyFont="1" applyAlignment="1" applyProtection="1">
      <alignment horizontal="left" vertical="top" wrapText="1"/>
    </xf>
    <xf numFmtId="0" fontId="5" fillId="0" borderId="0" xfId="3" applyFont="1" applyBorder="1" applyAlignment="1" applyProtection="1">
      <alignment horizontal="right" vertical="center" wrapText="1"/>
    </xf>
    <xf numFmtId="10" fontId="5" fillId="0" borderId="0" xfId="2" applyNumberFormat="1" applyFont="1" applyBorder="1" applyAlignment="1" applyProtection="1">
      <alignment horizontal="center" vertical="center"/>
    </xf>
    <xf numFmtId="0" fontId="5" fillId="0" borderId="0" xfId="3" applyFont="1" applyBorder="1" applyAlignment="1" applyProtection="1">
      <alignment horizontal="center" vertical="center" wrapText="1"/>
    </xf>
    <xf numFmtId="10" fontId="5" fillId="0" borderId="0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 vertical="center" wrapText="1"/>
    </xf>
    <xf numFmtId="165" fontId="0" fillId="3" borderId="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wrapText="1"/>
    </xf>
    <xf numFmtId="1" fontId="0" fillId="3" borderId="2" xfId="0" applyNumberFormat="1" applyFill="1" applyBorder="1" applyAlignment="1" applyProtection="1">
      <alignment horizontal="center"/>
      <protection locked="0"/>
    </xf>
    <xf numFmtId="0" fontId="7" fillId="0" borderId="0" xfId="3" applyFont="1" applyBorder="1" applyAlignment="1" applyProtection="1">
      <alignment horizontal="right" vertical="center" wrapText="1"/>
    </xf>
    <xf numFmtId="0" fontId="8" fillId="4" borderId="0" xfId="3" applyFont="1" applyFill="1" applyBorder="1" applyAlignment="1" applyProtection="1">
      <alignment horizontal="center" vertical="center"/>
      <protection locked="0"/>
    </xf>
    <xf numFmtId="10" fontId="5" fillId="5" borderId="0" xfId="3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vertical="top" wrapText="1"/>
    </xf>
    <xf numFmtId="10" fontId="5" fillId="0" borderId="0" xfId="2" applyNumberFormat="1" applyFont="1" applyFill="1" applyBorder="1" applyAlignment="1" applyProtection="1">
      <alignment horizontal="center" vertical="center"/>
    </xf>
    <xf numFmtId="0" fontId="0" fillId="0" borderId="0" xfId="0" applyFont="1" applyBorder="1" applyProtection="1"/>
    <xf numFmtId="0" fontId="5" fillId="0" borderId="0" xfId="4" applyFont="1" applyFill="1" applyBorder="1" applyAlignment="1" applyProtection="1">
      <alignment horizontal="right" wrapText="1"/>
    </xf>
    <xf numFmtId="166" fontId="3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4" applyFont="1" applyAlignment="1" applyProtection="1"/>
    <xf numFmtId="0" fontId="9" fillId="0" borderId="0" xfId="3" applyFont="1" applyAlignment="1" applyProtection="1">
      <alignment horizontal="center" wrapText="1"/>
    </xf>
    <xf numFmtId="0" fontId="0" fillId="0" borderId="0" xfId="0" applyAlignment="1" applyProtection="1">
      <alignment horizontal="center"/>
    </xf>
    <xf numFmtId="167" fontId="0" fillId="3" borderId="0" xfId="0" applyNumberFormat="1" applyFill="1" applyBorder="1" applyAlignment="1" applyProtection="1">
      <alignment horizontal="center"/>
      <protection locked="0"/>
    </xf>
    <xf numFmtId="10" fontId="0" fillId="0" borderId="0" xfId="0" applyNumberFormat="1" applyAlignment="1" applyProtection="1">
      <alignment horizontal="center"/>
    </xf>
    <xf numFmtId="4" fontId="0" fillId="6" borderId="0" xfId="0" applyNumberFormat="1" applyFill="1" applyAlignment="1" applyProtection="1">
      <alignment horizontal="center"/>
    </xf>
    <xf numFmtId="167" fontId="0" fillId="6" borderId="0" xfId="0" applyNumberFormat="1" applyFill="1" applyAlignment="1" applyProtection="1">
      <alignment horizontal="center"/>
    </xf>
    <xf numFmtId="167" fontId="0" fillId="3" borderId="2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</xf>
    <xf numFmtId="167" fontId="0" fillId="0" borderId="0" xfId="0" applyNumberFormat="1" applyAlignment="1" applyProtection="1">
      <alignment horizontal="center"/>
    </xf>
    <xf numFmtId="167" fontId="0" fillId="3" borderId="3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Protection="1"/>
    <xf numFmtId="0" fontId="6" fillId="0" borderId="0" xfId="0" applyFont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/>
    </xf>
    <xf numFmtId="168" fontId="0" fillId="0" borderId="0" xfId="0" applyNumberFormat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2" fontId="0" fillId="6" borderId="0" xfId="0" applyNumberFormat="1" applyFill="1" applyAlignment="1" applyProtection="1">
      <alignment horizontal="center"/>
    </xf>
    <xf numFmtId="3" fontId="0" fillId="0" borderId="4" xfId="0" applyNumberFormat="1" applyBorder="1" applyAlignment="1" applyProtection="1">
      <alignment horizontal="center"/>
    </xf>
    <xf numFmtId="169" fontId="0" fillId="6" borderId="0" xfId="0" applyNumberFormat="1" applyFill="1" applyAlignment="1" applyProtection="1">
      <alignment horizontal="center"/>
    </xf>
    <xf numFmtId="0" fontId="12" fillId="0" borderId="0" xfId="0" applyFont="1" applyProtection="1"/>
    <xf numFmtId="0" fontId="13" fillId="0" borderId="0" xfId="0" applyFont="1" applyProtection="1"/>
    <xf numFmtId="0" fontId="0" fillId="2" borderId="0" xfId="0" applyFill="1" applyBorder="1" applyProtection="1"/>
    <xf numFmtId="0" fontId="0" fillId="2" borderId="0" xfId="0" applyFill="1" applyBorder="1" applyProtection="1">
      <protection locked="0"/>
    </xf>
    <xf numFmtId="0" fontId="3" fillId="2" borderId="0" xfId="0" applyFont="1" applyFill="1" applyBorder="1" applyProtection="1"/>
    <xf numFmtId="3" fontId="0" fillId="2" borderId="0" xfId="0" applyNumberFormat="1" applyFill="1" applyBorder="1" applyProtection="1"/>
    <xf numFmtId="0" fontId="0" fillId="2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0" fillId="7" borderId="0" xfId="0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2" borderId="0" xfId="0" applyFill="1" applyAlignment="1" applyProtection="1">
      <alignment vertical="top" wrapText="1"/>
    </xf>
    <xf numFmtId="0" fontId="14" fillId="0" borderId="0" xfId="0" applyFont="1" applyFill="1" applyAlignment="1" applyProtection="1">
      <alignment horizontal="center" vertical="top" wrapText="1"/>
    </xf>
    <xf numFmtId="0" fontId="14" fillId="0" borderId="0" xfId="0" applyFont="1" applyFill="1" applyAlignment="1" applyProtection="1">
      <alignment horizontal="center" vertical="center" wrapText="1"/>
    </xf>
    <xf numFmtId="0" fontId="0" fillId="2" borderId="0" xfId="0" applyFill="1" applyProtection="1"/>
    <xf numFmtId="0" fontId="15" fillId="0" borderId="0" xfId="0" applyFont="1" applyProtection="1"/>
    <xf numFmtId="170" fontId="9" fillId="2" borderId="5" xfId="5" applyNumberFormat="1" applyFont="1" applyFill="1" applyBorder="1" applyAlignment="1" applyProtection="1">
      <alignment horizontal="center" vertical="center" wrapText="1"/>
    </xf>
    <xf numFmtId="10" fontId="9" fillId="2" borderId="5" xfId="5" applyNumberFormat="1" applyFont="1" applyFill="1" applyBorder="1" applyAlignment="1" applyProtection="1">
      <alignment horizontal="center" vertical="center" wrapText="1"/>
    </xf>
    <xf numFmtId="0" fontId="9" fillId="2" borderId="6" xfId="5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9" fillId="0" borderId="0" xfId="5" applyFont="1" applyAlignment="1" applyProtection="1">
      <alignment horizontal="left" vertical="center"/>
    </xf>
    <xf numFmtId="0" fontId="9" fillId="0" borderId="7" xfId="5" applyFont="1" applyFill="1" applyBorder="1" applyAlignment="1" applyProtection="1">
      <alignment horizontal="center" vertical="center"/>
    </xf>
    <xf numFmtId="170" fontId="9" fillId="2" borderId="8" xfId="5" applyNumberFormat="1" applyFont="1" applyFill="1" applyBorder="1" applyAlignment="1" applyProtection="1">
      <alignment horizontal="center" vertical="center" wrapText="1"/>
    </xf>
    <xf numFmtId="10" fontId="9" fillId="2" borderId="8" xfId="5" applyNumberFormat="1" applyFont="1" applyFill="1" applyBorder="1" applyAlignment="1" applyProtection="1">
      <alignment horizontal="center" vertical="center" wrapText="1"/>
    </xf>
    <xf numFmtId="0" fontId="9" fillId="2" borderId="9" xfId="5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wrapText="1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7" borderId="9" xfId="0" applyFill="1" applyBorder="1" applyAlignment="1" applyProtection="1">
      <alignment horizontal="center" vertical="center"/>
      <protection locked="0"/>
    </xf>
    <xf numFmtId="170" fontId="0" fillId="8" borderId="10" xfId="0" applyNumberFormat="1" applyFill="1" applyBorder="1" applyProtection="1"/>
    <xf numFmtId="170" fontId="0" fillId="8" borderId="8" xfId="0" applyNumberFormat="1" applyFill="1" applyBorder="1" applyProtection="1"/>
    <xf numFmtId="170" fontId="0" fillId="3" borderId="8" xfId="0" applyNumberFormat="1" applyFill="1" applyBorder="1" applyProtection="1">
      <protection locked="0"/>
    </xf>
    <xf numFmtId="170" fontId="0" fillId="2" borderId="8" xfId="0" applyNumberFormat="1" applyFill="1" applyBorder="1" applyProtection="1"/>
    <xf numFmtId="9" fontId="0" fillId="3" borderId="8" xfId="2" applyFont="1" applyFill="1" applyBorder="1" applyProtection="1">
      <protection locked="0"/>
    </xf>
    <xf numFmtId="171" fontId="0" fillId="3" borderId="8" xfId="0" applyNumberFormat="1" applyFill="1" applyBorder="1" applyProtection="1">
      <protection locked="0"/>
    </xf>
    <xf numFmtId="3" fontId="0" fillId="8" borderId="10" xfId="0" applyNumberFormat="1" applyFill="1" applyBorder="1" applyProtection="1"/>
    <xf numFmtId="0" fontId="0" fillId="7" borderId="11" xfId="0" applyFill="1" applyBorder="1" applyAlignment="1" applyProtection="1">
      <alignment horizontal="center" vertical="center"/>
      <protection locked="0"/>
    </xf>
    <xf numFmtId="170" fontId="0" fillId="8" borderId="12" xfId="0" applyNumberFormat="1" applyFill="1" applyBorder="1" applyProtection="1"/>
    <xf numFmtId="170" fontId="0" fillId="8" borderId="13" xfId="0" applyNumberFormat="1" applyFill="1" applyBorder="1" applyProtection="1"/>
    <xf numFmtId="170" fontId="0" fillId="3" borderId="13" xfId="0" applyNumberFormat="1" applyFill="1" applyBorder="1" applyProtection="1">
      <protection locked="0"/>
    </xf>
    <xf numFmtId="170" fontId="0" fillId="2" borderId="13" xfId="0" applyNumberFormat="1" applyFill="1" applyBorder="1" applyProtection="1"/>
    <xf numFmtId="9" fontId="0" fillId="3" borderId="13" xfId="2" applyFont="1" applyFill="1" applyBorder="1" applyProtection="1">
      <protection locked="0"/>
    </xf>
    <xf numFmtId="171" fontId="0" fillId="3" borderId="13" xfId="0" applyNumberFormat="1" applyFill="1" applyBorder="1" applyProtection="1">
      <protection locked="0"/>
    </xf>
    <xf numFmtId="3" fontId="0" fillId="8" borderId="12" xfId="0" applyNumberFormat="1" applyFill="1" applyBorder="1" applyProtection="1"/>
    <xf numFmtId="0" fontId="0" fillId="0" borderId="4" xfId="0" applyBorder="1" applyAlignment="1" applyProtection="1">
      <alignment wrapText="1"/>
    </xf>
    <xf numFmtId="0" fontId="0" fillId="7" borderId="4" xfId="0" applyFill="1" applyBorder="1" applyAlignment="1" applyProtection="1">
      <alignment horizontal="center" vertical="center"/>
      <protection locked="0"/>
    </xf>
    <xf numFmtId="170" fontId="0" fillId="8" borderId="14" xfId="0" applyNumberFormat="1" applyFill="1" applyBorder="1" applyProtection="1"/>
    <xf numFmtId="170" fontId="0" fillId="8" borderId="15" xfId="0" applyNumberFormat="1" applyFill="1" applyBorder="1" applyProtection="1"/>
    <xf numFmtId="170" fontId="0" fillId="3" borderId="15" xfId="0" applyNumberFormat="1" applyFill="1" applyBorder="1" applyProtection="1">
      <protection locked="0"/>
    </xf>
    <xf numFmtId="170" fontId="0" fillId="2" borderId="15" xfId="0" applyNumberFormat="1" applyFill="1" applyBorder="1" applyProtection="1"/>
    <xf numFmtId="9" fontId="0" fillId="3" borderId="15" xfId="2" applyFont="1" applyFill="1" applyBorder="1" applyProtection="1">
      <protection locked="0"/>
    </xf>
    <xf numFmtId="171" fontId="0" fillId="3" borderId="15" xfId="0" applyNumberFormat="1" applyFill="1" applyBorder="1" applyProtection="1">
      <protection locked="0"/>
    </xf>
    <xf numFmtId="3" fontId="0" fillId="8" borderId="7" xfId="0" applyNumberFormat="1" applyFill="1" applyBorder="1" applyProtection="1"/>
    <xf numFmtId="0" fontId="7" fillId="0" borderId="0" xfId="0" applyFont="1" applyAlignment="1" applyProtection="1">
      <alignment vertical="center"/>
    </xf>
    <xf numFmtId="3" fontId="0" fillId="0" borderId="0" xfId="0" applyNumberFormat="1" applyProtection="1"/>
    <xf numFmtId="9" fontId="0" fillId="0" borderId="0" xfId="2" applyFont="1" applyProtection="1"/>
    <xf numFmtId="171" fontId="0" fillId="0" borderId="0" xfId="0" applyNumberFormat="1" applyProtection="1"/>
    <xf numFmtId="3" fontId="0" fillId="0" borderId="16" xfId="0" applyNumberFormat="1" applyBorder="1" applyProtection="1"/>
    <xf numFmtId="0" fontId="20" fillId="0" borderId="0" xfId="0" applyFont="1" applyProtection="1"/>
    <xf numFmtId="0" fontId="21" fillId="8" borderId="17" xfId="0" applyFont="1" applyFill="1" applyBorder="1" applyProtection="1"/>
    <xf numFmtId="0" fontId="0" fillId="8" borderId="17" xfId="0" applyFill="1" applyBorder="1" applyProtection="1"/>
    <xf numFmtId="171" fontId="21" fillId="8" borderId="17" xfId="0" applyNumberFormat="1" applyFont="1" applyFill="1" applyBorder="1" applyProtection="1"/>
    <xf numFmtId="0" fontId="6" fillId="0" borderId="0" xfId="0" applyFont="1" applyProtection="1"/>
    <xf numFmtId="172" fontId="15" fillId="0" borderId="0" xfId="0" applyNumberFormat="1" applyFont="1" applyProtection="1"/>
    <xf numFmtId="0" fontId="22" fillId="8" borderId="17" xfId="0" applyFont="1" applyFill="1" applyBorder="1" applyAlignment="1" applyProtection="1">
      <alignment horizontal="center" vertical="top" wrapText="1"/>
    </xf>
    <xf numFmtId="0" fontId="0" fillId="8" borderId="17" xfId="0" applyFill="1" applyBorder="1" applyAlignment="1" applyProtection="1">
      <alignment horizontal="center" vertical="top" wrapText="1"/>
    </xf>
    <xf numFmtId="173" fontId="15" fillId="0" borderId="0" xfId="0" applyNumberFormat="1" applyFont="1" applyProtection="1"/>
    <xf numFmtId="0" fontId="0" fillId="0" borderId="0" xfId="0" applyProtection="1">
      <protection locked="0"/>
    </xf>
    <xf numFmtId="43" fontId="0" fillId="0" borderId="0" xfId="1" applyFont="1" applyAlignment="1" applyProtection="1">
      <alignment horizontal="center"/>
    </xf>
    <xf numFmtId="0" fontId="0" fillId="9" borderId="0" xfId="0" applyFill="1" applyProtection="1"/>
    <xf numFmtId="0" fontId="23" fillId="0" borderId="0" xfId="0" applyFont="1" applyProtection="1"/>
    <xf numFmtId="0" fontId="24" fillId="0" borderId="0" xfId="0" applyFont="1" applyProtection="1"/>
    <xf numFmtId="0" fontId="9" fillId="10" borderId="0" xfId="0" applyFont="1" applyFill="1" applyAlignment="1" applyProtection="1">
      <alignment horizontal="left" wrapText="1"/>
    </xf>
    <xf numFmtId="0" fontId="9" fillId="0" borderId="0" xfId="0" applyFont="1" applyAlignment="1" applyProtection="1">
      <alignment horizontal="center" wrapText="1"/>
    </xf>
    <xf numFmtId="0" fontId="15" fillId="0" borderId="0" xfId="0" applyFont="1" applyAlignment="1" applyProtection="1">
      <alignment horizontal="center"/>
    </xf>
    <xf numFmtId="0" fontId="25" fillId="10" borderId="0" xfId="6" applyFont="1" applyFill="1" applyAlignment="1" applyProtection="1">
      <alignment horizontal="center"/>
    </xf>
    <xf numFmtId="0" fontId="26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center"/>
    </xf>
    <xf numFmtId="3" fontId="0" fillId="3" borderId="18" xfId="0" applyNumberFormat="1" applyFill="1" applyBorder="1" applyProtection="1">
      <protection locked="0"/>
    </xf>
    <xf numFmtId="3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69" fontId="0" fillId="3" borderId="19" xfId="0" applyNumberFormat="1" applyFill="1" applyBorder="1" applyProtection="1">
      <protection locked="0"/>
    </xf>
    <xf numFmtId="169" fontId="0" fillId="3" borderId="20" xfId="0" applyNumberFormat="1" applyFill="1" applyBorder="1" applyProtection="1">
      <protection locked="0"/>
    </xf>
    <xf numFmtId="168" fontId="0" fillId="0" borderId="0" xfId="2" applyNumberFormat="1" applyFont="1" applyAlignment="1" applyProtection="1">
      <alignment horizontal="center"/>
    </xf>
    <xf numFmtId="3" fontId="0" fillId="3" borderId="21" xfId="0" applyNumberFormat="1" applyFill="1" applyBorder="1" applyProtection="1">
      <protection locked="0"/>
    </xf>
    <xf numFmtId="3" fontId="0" fillId="3" borderId="22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169" fontId="0" fillId="3" borderId="22" xfId="0" applyNumberFormat="1" applyFill="1" applyBorder="1" applyProtection="1">
      <protection locked="0"/>
    </xf>
    <xf numFmtId="169" fontId="0" fillId="3" borderId="23" xfId="0" applyNumberFormat="1" applyFill="1" applyBorder="1" applyProtection="1">
      <protection locked="0"/>
    </xf>
    <xf numFmtId="0" fontId="0" fillId="0" borderId="4" xfId="0" applyBorder="1" applyProtection="1"/>
    <xf numFmtId="3" fontId="0" fillId="3" borderId="24" xfId="0" applyNumberFormat="1" applyFill="1" applyBorder="1" applyProtection="1">
      <protection locked="0"/>
    </xf>
    <xf numFmtId="3" fontId="0" fillId="3" borderId="25" xfId="0" applyNumberFormat="1" applyFill="1" applyBorder="1" applyProtection="1">
      <protection locked="0"/>
    </xf>
    <xf numFmtId="2" fontId="0" fillId="3" borderId="25" xfId="0" applyNumberFormat="1" applyFill="1" applyBorder="1" applyProtection="1">
      <protection locked="0"/>
    </xf>
    <xf numFmtId="169" fontId="0" fillId="3" borderId="25" xfId="0" applyNumberFormat="1" applyFill="1" applyBorder="1" applyProtection="1">
      <protection locked="0"/>
    </xf>
    <xf numFmtId="169" fontId="0" fillId="3" borderId="26" xfId="0" applyNumberFormat="1" applyFill="1" applyBorder="1" applyProtection="1">
      <protection locked="0"/>
    </xf>
    <xf numFmtId="168" fontId="0" fillId="0" borderId="4" xfId="2" applyNumberFormat="1" applyFont="1" applyBorder="1" applyAlignment="1" applyProtection="1">
      <alignment horizontal="center"/>
    </xf>
    <xf numFmtId="0" fontId="0" fillId="0" borderId="0" xfId="0" applyBorder="1" applyProtection="1"/>
    <xf numFmtId="3" fontId="0" fillId="0" borderId="0" xfId="0" applyNumberFormat="1" applyAlignment="1" applyProtection="1">
      <alignment horizontal="right"/>
    </xf>
    <xf numFmtId="0" fontId="6" fillId="0" borderId="0" xfId="0" applyFont="1" applyAlignment="1" applyProtection="1">
      <alignment horizontal="left" vertical="center" wrapText="1"/>
    </xf>
    <xf numFmtId="175" fontId="0" fillId="0" borderId="0" xfId="0" applyNumberFormat="1" applyAlignment="1" applyProtection="1">
      <alignment horizontal="center"/>
    </xf>
    <xf numFmtId="176" fontId="0" fillId="0" borderId="0" xfId="0" applyNumberFormat="1" applyAlignment="1" applyProtection="1">
      <alignment horizontal="center"/>
    </xf>
    <xf numFmtId="0" fontId="27" fillId="8" borderId="27" xfId="0" applyFont="1" applyFill="1" applyBorder="1" applyAlignment="1" applyProtection="1">
      <alignment horizontal="center" vertical="center" wrapText="1"/>
      <protection locked="0"/>
    </xf>
    <xf numFmtId="0" fontId="27" fillId="8" borderId="16" xfId="0" applyFont="1" applyFill="1" applyBorder="1" applyAlignment="1" applyProtection="1">
      <alignment horizontal="center" vertical="center" wrapText="1"/>
      <protection locked="0"/>
    </xf>
    <xf numFmtId="0" fontId="27" fillId="8" borderId="28" xfId="0" applyFont="1" applyFill="1" applyBorder="1" applyAlignment="1" applyProtection="1">
      <alignment horizontal="center" vertical="center" wrapText="1"/>
      <protection locked="0"/>
    </xf>
    <xf numFmtId="177" fontId="0" fillId="0" borderId="0" xfId="0" applyNumberFormat="1" applyAlignment="1" applyProtection="1">
      <alignment horizontal="center"/>
    </xf>
    <xf numFmtId="0" fontId="27" fillId="8" borderId="29" xfId="0" applyFont="1" applyFill="1" applyBorder="1" applyAlignment="1" applyProtection="1">
      <alignment horizontal="center" vertical="center" wrapText="1"/>
      <protection locked="0"/>
    </xf>
    <xf numFmtId="0" fontId="27" fillId="8" borderId="0" xfId="0" applyFont="1" applyFill="1" applyBorder="1" applyAlignment="1" applyProtection="1">
      <alignment horizontal="center" vertical="center" wrapText="1"/>
      <protection locked="0"/>
    </xf>
    <xf numFmtId="0" fontId="27" fillId="8" borderId="30" xfId="0" applyFont="1" applyFill="1" applyBorder="1" applyAlignment="1" applyProtection="1">
      <alignment horizontal="center" vertical="center" wrapText="1"/>
      <protection locked="0"/>
    </xf>
    <xf numFmtId="175" fontId="0" fillId="0" borderId="4" xfId="0" applyNumberFormat="1" applyBorder="1" applyAlignment="1" applyProtection="1">
      <alignment horizontal="center"/>
    </xf>
    <xf numFmtId="177" fontId="0" fillId="0" borderId="4" xfId="0" applyNumberFormat="1" applyBorder="1" applyAlignment="1" applyProtection="1">
      <alignment horizontal="center"/>
    </xf>
    <xf numFmtId="0" fontId="27" fillId="8" borderId="31" xfId="0" applyFont="1" applyFill="1" applyBorder="1" applyAlignment="1" applyProtection="1">
      <alignment horizontal="center" vertical="center" wrapText="1"/>
      <protection locked="0"/>
    </xf>
    <xf numFmtId="0" fontId="27" fillId="8" borderId="4" xfId="0" applyFont="1" applyFill="1" applyBorder="1" applyAlignment="1" applyProtection="1">
      <alignment horizontal="center" vertical="center" wrapText="1"/>
      <protection locked="0"/>
    </xf>
    <xf numFmtId="0" fontId="27" fillId="8" borderId="32" xfId="0" applyFont="1" applyFill="1" applyBorder="1" applyAlignment="1" applyProtection="1">
      <alignment horizontal="center" vertical="center" wrapText="1"/>
      <protection locked="0"/>
    </xf>
    <xf numFmtId="6" fontId="0" fillId="0" borderId="0" xfId="0" applyNumberFormat="1" applyAlignment="1" applyProtection="1">
      <alignment horizontal="center"/>
    </xf>
    <xf numFmtId="2" fontId="0" fillId="0" borderId="0" xfId="0" applyNumberFormat="1" applyProtection="1"/>
    <xf numFmtId="169" fontId="0" fillId="0" borderId="0" xfId="0" applyNumberFormat="1" applyProtection="1"/>
    <xf numFmtId="37" fontId="9" fillId="0" borderId="33" xfId="0" applyNumberFormat="1" applyFont="1" applyFill="1" applyBorder="1"/>
  </cellXfs>
  <cellStyles count="7">
    <cellStyle name="Comma" xfId="1" builtinId="3"/>
    <cellStyle name="Normal" xfId="0" builtinId="0"/>
    <cellStyle name="Normal_6. Cost Allocation for Def-Var" xfId="5"/>
    <cellStyle name="Normal_9. Rev2Cost_GDPIPI" xfId="3"/>
    <cellStyle name="Normal_Core Model Version 0.1" xfId="6"/>
    <cellStyle name="Normal_Sheet7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6</xdr:col>
      <xdr:colOff>529395</xdr:colOff>
      <xdr:row>10</xdr:row>
      <xdr:rowOff>39341</xdr:rowOff>
    </xdr:to>
    <xdr:grpSp>
      <xdr:nvGrpSpPr>
        <xdr:cNvPr id="2" name="Group 1"/>
        <xdr:cNvGrpSpPr/>
      </xdr:nvGrpSpPr>
      <xdr:grpSpPr>
        <a:xfrm>
          <a:off x="0" y="19050"/>
          <a:ext cx="10349670" cy="1925291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'[1]1. Information Sheet'!AA1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608770</xdr:colOff>
      <xdr:row>10</xdr:row>
      <xdr:rowOff>29816</xdr:rowOff>
    </xdr:to>
    <xdr:grpSp>
      <xdr:nvGrpSpPr>
        <xdr:cNvPr id="2" name="Group 1"/>
        <xdr:cNvGrpSpPr/>
      </xdr:nvGrpSpPr>
      <xdr:grpSpPr>
        <a:xfrm>
          <a:off x="0" y="9525"/>
          <a:ext cx="8495470" cy="1925291"/>
          <a:chOff x="200024" y="4499942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'[1]1. Information Sheet'!AA1" fLocksText="0">
        <xdr:nvSpPr>
          <xdr:cNvPr id="4" name="TextBox 3"/>
          <xdr:cNvSpPr txBox="1"/>
        </xdr:nvSpPr>
        <xdr:spPr>
          <a:xfrm>
            <a:off x="314739" y="5814392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 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/>
          <xdr:cNvSpPr/>
        </xdr:nvSpPr>
        <xdr:spPr>
          <a:xfrm>
            <a:off x="337235" y="520150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Incentive Regulation Model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/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%20Department/Department%20Applications/Rates/2017%20Electricity%20Rates/IRM/IRM%20Applications/Price%20Cap%20IR/Milton%20Hydro/Application%20Filed/MILTON_2017_IRM_RateGen_Model_V1.3_20161102_corr_WMS_201701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GA calculation"/>
      <sheetName val="6.a GA allocation_Class A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2016 Database"/>
      <sheetName val="lists"/>
      <sheetName val="Sheet2"/>
      <sheetName val="Sheet3"/>
    </sheetNames>
    <sheetDataSet>
      <sheetData sheetId="0"/>
      <sheetData sheetId="1"/>
      <sheetData sheetId="2"/>
      <sheetData sheetId="3">
        <row r="42">
          <cell r="BT4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46">
          <cell r="N46">
            <v>-1.1524411296704784E-2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tabSelected="1" topLeftCell="A13" workbookViewId="0">
      <selection activeCell="K30" sqref="K30"/>
    </sheetView>
  </sheetViews>
  <sheetFormatPr defaultColWidth="9.140625" defaultRowHeight="15" x14ac:dyDescent="0.25"/>
  <cols>
    <col min="1" max="1" width="56.7109375" style="1" customWidth="1"/>
    <col min="2" max="2" width="11.42578125" style="1" customWidth="1"/>
    <col min="3" max="3" width="15.5703125" style="1" customWidth="1"/>
    <col min="4" max="4" width="17.140625" style="1" customWidth="1"/>
    <col min="5" max="5" width="29.7109375" style="1" bestFit="1" customWidth="1"/>
    <col min="6" max="6" width="16.7109375" style="1" customWidth="1"/>
    <col min="7" max="7" width="18.140625" style="1" customWidth="1"/>
    <col min="8" max="8" width="14.28515625" style="1" customWidth="1"/>
    <col min="9" max="9" width="16.42578125" style="1" customWidth="1"/>
    <col min="10" max="10" width="9.140625" style="1"/>
    <col min="11" max="11" width="25" style="1" customWidth="1"/>
    <col min="12" max="12" width="13.5703125" style="1" customWidth="1"/>
    <col min="13" max="13" width="13.28515625" style="1" customWidth="1"/>
    <col min="14" max="14" width="11.42578125" style="1" customWidth="1"/>
    <col min="15" max="25" width="9.140625" style="1"/>
    <col min="26" max="27" width="9.140625" style="1" hidden="1" customWidth="1"/>
    <col min="28" max="29" width="0" style="1" hidden="1" customWidth="1"/>
    <col min="30" max="16384" width="9.140625" style="1"/>
  </cols>
  <sheetData>
    <row r="1" spans="1:30" x14ac:dyDescent="0.25">
      <c r="Z1" s="1" t="b">
        <v>0</v>
      </c>
      <c r="AA1" s="1">
        <v>0</v>
      </c>
      <c r="AD1" s="2" t="s">
        <v>0</v>
      </c>
    </row>
    <row r="2" spans="1:30" x14ac:dyDescent="0.25">
      <c r="Z2" s="1" t="b">
        <v>1</v>
      </c>
    </row>
    <row r="3" spans="1:30" x14ac:dyDescent="0.25">
      <c r="L3" s="3"/>
      <c r="M3" s="4"/>
      <c r="N3" s="4"/>
    </row>
    <row r="4" spans="1:30" x14ac:dyDescent="0.25">
      <c r="I4" s="4"/>
      <c r="J4" s="4"/>
      <c r="K4" s="4"/>
      <c r="L4" s="4"/>
      <c r="N4" s="4"/>
    </row>
    <row r="5" spans="1:30" x14ac:dyDescent="0.25">
      <c r="L5" s="4"/>
    </row>
    <row r="6" spans="1:30" x14ac:dyDescent="0.25">
      <c r="L6" s="4"/>
    </row>
    <row r="7" spans="1:30" x14ac:dyDescent="0.25">
      <c r="L7" s="4"/>
    </row>
    <row r="8" spans="1:30" x14ac:dyDescent="0.25">
      <c r="B8" s="1">
        <v>0</v>
      </c>
      <c r="L8" s="4"/>
    </row>
    <row r="9" spans="1:30" x14ac:dyDescent="0.25">
      <c r="B9" s="1">
        <v>0</v>
      </c>
    </row>
    <row r="10" spans="1:30" x14ac:dyDescent="0.25">
      <c r="B10" s="1">
        <v>0</v>
      </c>
    </row>
    <row r="11" spans="1:30" ht="35.25" customHeight="1" x14ac:dyDescent="0.25">
      <c r="A11" s="5" t="s">
        <v>1</v>
      </c>
      <c r="B11" s="5"/>
      <c r="C11" s="5"/>
      <c r="D11" s="5"/>
      <c r="E11" s="5"/>
      <c r="F11" s="5"/>
      <c r="G11" s="5"/>
      <c r="H11" s="5"/>
    </row>
    <row r="12" spans="1:30" ht="65.25" customHeight="1" thickBot="1" x14ac:dyDescent="0.3">
      <c r="A12" s="6" t="s">
        <v>2</v>
      </c>
      <c r="B12" s="7">
        <v>2.1000000000000001E-2</v>
      </c>
      <c r="C12" s="8" t="s">
        <v>3</v>
      </c>
      <c r="D12" s="9">
        <v>0</v>
      </c>
      <c r="E12" s="10" t="s">
        <v>4</v>
      </c>
      <c r="F12" s="11">
        <v>34501</v>
      </c>
      <c r="G12" s="12" t="s">
        <v>5</v>
      </c>
      <c r="H12" s="13">
        <v>2016</v>
      </c>
    </row>
    <row r="13" spans="1:30" ht="58.15" customHeight="1" thickBot="1" x14ac:dyDescent="0.3">
      <c r="A13" s="14" t="s">
        <v>6</v>
      </c>
      <c r="B13" s="15" t="s">
        <v>7</v>
      </c>
      <c r="C13" s="8" t="s">
        <v>8</v>
      </c>
      <c r="D13" s="16">
        <f>B12-D12-B14</f>
        <v>1.8000000000000002E-2</v>
      </c>
      <c r="E13" s="10" t="s">
        <v>9</v>
      </c>
      <c r="F13" s="11">
        <v>311504507</v>
      </c>
      <c r="G13" s="17" t="s">
        <v>10</v>
      </c>
      <c r="H13" s="13">
        <v>4</v>
      </c>
      <c r="I13" s="18"/>
      <c r="J13" s="18"/>
      <c r="K13" s="18"/>
      <c r="L13" s="18"/>
    </row>
    <row r="14" spans="1:30" s="4" customFormat="1" ht="30" customHeight="1" x14ac:dyDescent="0.25">
      <c r="A14" s="6" t="s">
        <v>11</v>
      </c>
      <c r="B14" s="19">
        <f>IF(B13="I", 0%, IF(B13="II", 0.15%, IF(B13="III", 0.3%, IF(B13="IV", 0.45%, 0.6%))))</f>
        <v>3.0000000000000001E-3</v>
      </c>
      <c r="C14" s="20"/>
      <c r="D14" s="20"/>
      <c r="E14" s="21" t="s">
        <v>12</v>
      </c>
      <c r="F14" s="22">
        <v>3</v>
      </c>
    </row>
    <row r="15" spans="1:30" s="4" customFormat="1" ht="64.5" customHeight="1" x14ac:dyDescent="0.25">
      <c r="A15" s="23" t="s">
        <v>13</v>
      </c>
      <c r="B15" s="24" t="s">
        <v>14</v>
      </c>
      <c r="C15" s="24" t="s">
        <v>15</v>
      </c>
      <c r="D15" s="24" t="s">
        <v>16</v>
      </c>
      <c r="E15" s="24" t="s">
        <v>17</v>
      </c>
      <c r="F15" s="24" t="s">
        <v>18</v>
      </c>
      <c r="G15" s="24" t="s">
        <v>19</v>
      </c>
      <c r="H15" s="24" t="s">
        <v>20</v>
      </c>
    </row>
    <row r="16" spans="1:30" x14ac:dyDescent="0.25">
      <c r="B16" s="25"/>
      <c r="C16" s="25"/>
      <c r="D16" s="25"/>
      <c r="E16" s="25"/>
      <c r="F16" s="25"/>
      <c r="G16" s="25"/>
      <c r="H16" s="25"/>
    </row>
    <row r="17" spans="1:15" x14ac:dyDescent="0.25">
      <c r="A17" s="1" t="s">
        <v>21</v>
      </c>
      <c r="B17" s="25">
        <v>18.61</v>
      </c>
      <c r="C17" s="26">
        <v>-0.01</v>
      </c>
      <c r="D17" s="25">
        <v>1.0999999999999999E-2</v>
      </c>
      <c r="E17" s="26">
        <v>0</v>
      </c>
      <c r="F17" s="27">
        <f>D13</f>
        <v>1.8000000000000002E-2</v>
      </c>
      <c r="G17" s="28">
        <f>H28*(1+D13)</f>
        <v>21.744479999999999</v>
      </c>
      <c r="H17" s="29">
        <f>H29*(1+D13)</f>
        <v>7.4314000000000003E-3</v>
      </c>
      <c r="K17" s="158" t="s">
        <v>107</v>
      </c>
      <c r="L17" s="156">
        <v>18.600000000000001</v>
      </c>
      <c r="M17" s="157">
        <f>+L17-B17</f>
        <v>-9.9999999999980105E-3</v>
      </c>
      <c r="N17" s="157">
        <v>1.0999999999999999E-2</v>
      </c>
      <c r="O17" s="157">
        <f>+N17-D17</f>
        <v>0</v>
      </c>
    </row>
    <row r="18" spans="1:15" x14ac:dyDescent="0.25">
      <c r="A18" s="1" t="s">
        <v>22</v>
      </c>
      <c r="B18" s="25">
        <v>16.510000000000002</v>
      </c>
      <c r="C18" s="30">
        <v>0</v>
      </c>
      <c r="D18" s="25">
        <v>1.7399999999999999E-2</v>
      </c>
      <c r="E18" s="30">
        <v>0</v>
      </c>
      <c r="F18" s="27">
        <f>D13</f>
        <v>1.8000000000000002E-2</v>
      </c>
      <c r="G18" s="31">
        <f>(B18+C18)*(1+D13)</f>
        <v>16.807180000000002</v>
      </c>
      <c r="H18" s="32">
        <f>(D18+E18)*(1+D13)</f>
        <v>1.7713199999999998E-2</v>
      </c>
      <c r="K18" s="158" t="s">
        <v>108</v>
      </c>
      <c r="L18" s="156">
        <v>16.510000000000002</v>
      </c>
      <c r="M18" s="157">
        <f t="shared" ref="M18:M24" si="0">+L18-B18</f>
        <v>0</v>
      </c>
      <c r="N18" s="157">
        <v>1.7406617844859786E-2</v>
      </c>
      <c r="O18" s="157">
        <f t="shared" ref="O18:O24" si="1">+N18-D18</f>
        <v>6.6178448597867257E-6</v>
      </c>
    </row>
    <row r="19" spans="1:15" x14ac:dyDescent="0.25">
      <c r="A19" s="1" t="s">
        <v>23</v>
      </c>
      <c r="B19" s="25">
        <v>77.98</v>
      </c>
      <c r="C19" s="30">
        <v>0</v>
      </c>
      <c r="D19" s="25">
        <v>3.01</v>
      </c>
      <c r="E19" s="30">
        <v>-1.1999999999999999E-3</v>
      </c>
      <c r="F19" s="27">
        <f>D13</f>
        <v>1.8000000000000002E-2</v>
      </c>
      <c r="G19" s="31">
        <f>(B19+C19)*(1+D13)</f>
        <v>79.38364</v>
      </c>
      <c r="H19" s="32">
        <f>(D19+E19)*(1+D13)</f>
        <v>3.0629583999999999</v>
      </c>
      <c r="K19" s="158" t="s">
        <v>109</v>
      </c>
      <c r="L19" s="156">
        <v>77.98</v>
      </c>
      <c r="M19" s="157">
        <f t="shared" si="0"/>
        <v>0</v>
      </c>
      <c r="N19" s="157">
        <v>3.0088114228981033</v>
      </c>
      <c r="O19" s="157">
        <f t="shared" si="1"/>
        <v>-1.1885771018964597E-3</v>
      </c>
    </row>
    <row r="20" spans="1:15" x14ac:dyDescent="0.25">
      <c r="A20" s="1" t="s">
        <v>24</v>
      </c>
      <c r="B20" s="25">
        <v>612.07000000000005</v>
      </c>
      <c r="C20" s="30">
        <v>0</v>
      </c>
      <c r="D20" s="25">
        <v>2.1082000000000001</v>
      </c>
      <c r="E20" s="30">
        <v>0</v>
      </c>
      <c r="F20" s="27">
        <f>D13</f>
        <v>1.8000000000000002E-2</v>
      </c>
      <c r="G20" s="31">
        <f>(B20+C20)*(1+D13)</f>
        <v>623.08726000000001</v>
      </c>
      <c r="H20" s="32">
        <f>(D20+E20)*(1+D13)</f>
        <v>2.1461475999999999</v>
      </c>
      <c r="K20" s="158" t="s">
        <v>110</v>
      </c>
      <c r="L20" s="156">
        <v>612.07000000000005</v>
      </c>
      <c r="M20" s="157">
        <f t="shared" si="0"/>
        <v>0</v>
      </c>
      <c r="N20" s="157">
        <v>2.1082127647567956</v>
      </c>
      <c r="O20" s="157">
        <f t="shared" si="1"/>
        <v>1.2764756795569099E-5</v>
      </c>
    </row>
    <row r="21" spans="1:15" x14ac:dyDescent="0.25">
      <c r="A21" s="1" t="s">
        <v>25</v>
      </c>
      <c r="B21" s="25">
        <v>2443.75</v>
      </c>
      <c r="C21" s="30">
        <v>0</v>
      </c>
      <c r="D21" s="25">
        <v>1.4630000000000001</v>
      </c>
      <c r="E21" s="30">
        <v>0</v>
      </c>
      <c r="F21" s="27">
        <f>D13</f>
        <v>1.8000000000000002E-2</v>
      </c>
      <c r="G21" s="31">
        <f>(B21+C21)*(1+D13)</f>
        <v>2487.7375000000002</v>
      </c>
      <c r="H21" s="32">
        <f>(D21+E21)*(1+D13)</f>
        <v>1.4893340000000002</v>
      </c>
      <c r="K21" s="158" t="s">
        <v>111</v>
      </c>
      <c r="L21" s="156">
        <v>2443.75</v>
      </c>
      <c r="M21" s="157">
        <f t="shared" si="0"/>
        <v>0</v>
      </c>
      <c r="N21" s="157">
        <v>1.4630222001732529</v>
      </c>
      <c r="O21" s="157">
        <f t="shared" si="1"/>
        <v>2.2200173252828748E-5</v>
      </c>
    </row>
    <row r="22" spans="1:15" x14ac:dyDescent="0.25">
      <c r="A22" s="1" t="s">
        <v>26</v>
      </c>
      <c r="B22" s="25">
        <v>7.86</v>
      </c>
      <c r="C22" s="30">
        <v>0</v>
      </c>
      <c r="D22" s="25">
        <v>1.66E-2</v>
      </c>
      <c r="E22" s="30">
        <v>0</v>
      </c>
      <c r="F22" s="27">
        <f>D13</f>
        <v>1.8000000000000002E-2</v>
      </c>
      <c r="G22" s="31">
        <f>(B22+C22)*(1+D13)</f>
        <v>8.0014800000000008</v>
      </c>
      <c r="H22" s="32">
        <f>(D22+E22)*(1+D13)</f>
        <v>1.6898800000000002E-2</v>
      </c>
      <c r="K22" s="158" t="s">
        <v>114</v>
      </c>
      <c r="L22" s="156">
        <v>7.8629894402642497</v>
      </c>
      <c r="M22" s="157">
        <f t="shared" si="0"/>
        <v>2.98944026424941E-3</v>
      </c>
      <c r="N22" s="157">
        <v>1.6606313576130603E-2</v>
      </c>
      <c r="O22" s="157">
        <f t="shared" si="1"/>
        <v>6.3135761306024052E-6</v>
      </c>
    </row>
    <row r="23" spans="1:15" x14ac:dyDescent="0.25">
      <c r="A23" s="1" t="s">
        <v>27</v>
      </c>
      <c r="B23" s="25">
        <v>3.44</v>
      </c>
      <c r="C23" s="30">
        <v>0.81</v>
      </c>
      <c r="D23" s="25">
        <v>26.1496</v>
      </c>
      <c r="E23" s="30">
        <v>6.1428000000000011</v>
      </c>
      <c r="F23" s="27">
        <f>D13</f>
        <v>1.8000000000000002E-2</v>
      </c>
      <c r="G23" s="31">
        <f>(B23+C23)*(1+D13)</f>
        <v>4.3265000000000002</v>
      </c>
      <c r="H23" s="32">
        <f>(D23+E23)*(1+D13)</f>
        <v>32.873663200000003</v>
      </c>
      <c r="K23" s="158" t="s">
        <v>112</v>
      </c>
      <c r="L23" s="156">
        <v>4.2495511930439962</v>
      </c>
      <c r="M23" s="157">
        <f t="shared" si="0"/>
        <v>0.80955119304399625</v>
      </c>
      <c r="N23" s="157">
        <v>32.292391979536298</v>
      </c>
      <c r="O23" s="157">
        <f t="shared" si="1"/>
        <v>6.1427919795362982</v>
      </c>
    </row>
    <row r="24" spans="1:15" x14ac:dyDescent="0.25">
      <c r="A24" s="1" t="s">
        <v>28</v>
      </c>
      <c r="B24" s="25">
        <v>2.4</v>
      </c>
      <c r="C24" s="33">
        <v>0</v>
      </c>
      <c r="D24" s="25">
        <v>10.5265</v>
      </c>
      <c r="E24" s="33">
        <v>-3.7000000000000002E-3</v>
      </c>
      <c r="F24" s="27">
        <f>D13</f>
        <v>1.8000000000000002E-2</v>
      </c>
      <c r="G24" s="31">
        <f>(B24+C24)*(1+D13)</f>
        <v>2.4432</v>
      </c>
      <c r="H24" s="32">
        <f>(D24+E24)*(1+D13)</f>
        <v>10.7122104</v>
      </c>
      <c r="K24" s="158" t="s">
        <v>113</v>
      </c>
      <c r="L24" s="156">
        <v>2.4036057252320506</v>
      </c>
      <c r="M24" s="157">
        <f t="shared" si="0"/>
        <v>3.605725232050716E-3</v>
      </c>
      <c r="N24" s="157">
        <v>10.522844476493844</v>
      </c>
      <c r="O24" s="157">
        <f t="shared" si="1"/>
        <v>-3.6555235061559443E-3</v>
      </c>
    </row>
    <row r="25" spans="1:15" x14ac:dyDescent="0.25">
      <c r="A25" s="1" t="s">
        <v>29</v>
      </c>
      <c r="B25" s="25">
        <v>5.4</v>
      </c>
      <c r="C25" s="34"/>
      <c r="D25" s="25"/>
      <c r="E25" s="34"/>
      <c r="F25" s="25"/>
      <c r="G25" s="25">
        <f>B25</f>
        <v>5.4</v>
      </c>
      <c r="H25" s="25"/>
    </row>
    <row r="26" spans="1:15" x14ac:dyDescent="0.25">
      <c r="B26" s="25"/>
      <c r="C26" s="25"/>
      <c r="D26" s="25"/>
      <c r="E26" s="25"/>
      <c r="F26" s="25"/>
      <c r="G26" s="25"/>
      <c r="H26" s="25"/>
    </row>
    <row r="27" spans="1:15" ht="38.25" x14ac:dyDescent="0.25">
      <c r="A27" s="35" t="s">
        <v>30</v>
      </c>
      <c r="B27" s="25"/>
      <c r="C27" s="36" t="s">
        <v>31</v>
      </c>
      <c r="D27" s="36" t="s">
        <v>32</v>
      </c>
      <c r="E27" s="36" t="s">
        <v>33</v>
      </c>
      <c r="F27" s="36" t="s">
        <v>34</v>
      </c>
      <c r="G27" s="36" t="s">
        <v>35</v>
      </c>
      <c r="H27" s="36" t="s">
        <v>36</v>
      </c>
      <c r="I27" s="36" t="s">
        <v>37</v>
      </c>
    </row>
    <row r="28" spans="1:15" x14ac:dyDescent="0.25">
      <c r="A28" s="1" t="s">
        <v>38</v>
      </c>
      <c r="B28" s="32">
        <f>B17+C17</f>
        <v>18.599999999999998</v>
      </c>
      <c r="C28" s="37">
        <f>B28*COS_RES_CUSTOMERS*12</f>
        <v>7700623.1999999993</v>
      </c>
      <c r="D28" s="38">
        <f>IF(ISERROR(C28/C30), 0, C28/C30)</f>
        <v>0.69205568695017305</v>
      </c>
      <c r="E28" s="38">
        <f>IF(ISERROR((1-D28)/YRS_LEFT), 0, (1-D28)/YRS_LEFT)</f>
        <v>0.10264810434994232</v>
      </c>
      <c r="F28" s="39">
        <f>IF(ISERROR(ROUND(E28*C30/COS_RES_CUSTOMERS/12, 2)), 0, ROUND(E28*C30/COS_RES_CUSTOMERS/12, 2))</f>
        <v>2.76</v>
      </c>
      <c r="G28" s="38">
        <f>E28+D28</f>
        <v>0.79470379130011537</v>
      </c>
      <c r="H28" s="40">
        <f>IF(ISERROR(ROUND(G28*C30/COS_RES_CUSTOMERS/12, 2)), 0, ROUND(G28*C30/COS_RES_CUSTOMERS/12, 2))</f>
        <v>21.36</v>
      </c>
      <c r="I28" s="37">
        <f>ROUND(H28*COS_RES_CUSTOMERS*12, 2)</f>
        <v>8843296.3200000003</v>
      </c>
    </row>
    <row r="29" spans="1:15" ht="15.75" thickBot="1" x14ac:dyDescent="0.3">
      <c r="A29" s="1" t="s">
        <v>39</v>
      </c>
      <c r="B29" s="32">
        <f>D17+E17</f>
        <v>1.0999999999999999E-2</v>
      </c>
      <c r="C29" s="41">
        <f>B29*COS_RES_KWH</f>
        <v>3426549.5769999996</v>
      </c>
      <c r="D29" s="38">
        <f>IF(ISERROR(C29/C30), 0, C29/C30)</f>
        <v>0.30794431304982695</v>
      </c>
      <c r="E29" s="25"/>
      <c r="F29" s="25"/>
      <c r="G29" s="38">
        <f>1-G28</f>
        <v>0.20529620869988463</v>
      </c>
      <c r="H29" s="42">
        <f>IF(ISERROR(ROUND(G29*C30/COS_RES_KWH, 4)), 0, ROUND(G29*C30/COS_RES_KWH, 4))</f>
        <v>7.3000000000000001E-3</v>
      </c>
      <c r="I29" s="41">
        <f>ROUND(H29*COS_RES_KWH, 2)</f>
        <v>2273982.9</v>
      </c>
    </row>
    <row r="30" spans="1:15" x14ac:dyDescent="0.25">
      <c r="B30" s="25"/>
      <c r="C30" s="37">
        <f>SUM(C28+C29)</f>
        <v>11127172.776999999</v>
      </c>
      <c r="D30" s="25"/>
      <c r="E30" s="25"/>
      <c r="F30" s="25"/>
      <c r="G30" s="25"/>
      <c r="H30" s="25"/>
      <c r="I30" s="37">
        <f>SUM(I28+I29)</f>
        <v>11117279.220000001</v>
      </c>
    </row>
    <row r="31" spans="1:15" x14ac:dyDescent="0.25">
      <c r="B31" s="25"/>
      <c r="C31" s="25"/>
      <c r="D31" s="25"/>
      <c r="E31" s="25"/>
      <c r="F31" s="25"/>
      <c r="G31" s="25"/>
      <c r="H31" s="25"/>
    </row>
    <row r="32" spans="1:15" x14ac:dyDescent="0.25">
      <c r="B32" s="25"/>
      <c r="C32" s="25"/>
      <c r="D32" s="25"/>
      <c r="E32" s="25"/>
      <c r="F32" s="25"/>
      <c r="G32" s="25"/>
      <c r="H32" s="25"/>
    </row>
    <row r="33" spans="1:8" x14ac:dyDescent="0.25">
      <c r="A33" s="43" t="str">
        <f>IF((H28-B28)&gt;=4, "The Rate Design Transition has calculated a monthly fixed charge greater than or equal to $4.  Please refer to Section 3.2.3 of the Chapter 3 Filing Requirements for mitigation instructions.", "")</f>
        <v/>
      </c>
      <c r="B33" s="25"/>
      <c r="C33" s="25"/>
      <c r="D33" s="25"/>
      <c r="E33" s="25"/>
      <c r="F33" s="25"/>
      <c r="G33" s="25"/>
      <c r="H33" s="25"/>
    </row>
    <row r="34" spans="1:8" x14ac:dyDescent="0.25">
      <c r="B34" s="25"/>
      <c r="C34" s="25"/>
      <c r="D34" s="25"/>
      <c r="E34" s="25"/>
      <c r="F34" s="25"/>
      <c r="G34" s="25"/>
      <c r="H34" s="25"/>
    </row>
    <row r="35" spans="1:8" ht="17.25" x14ac:dyDescent="0.25">
      <c r="A35" s="44" t="s">
        <v>40</v>
      </c>
      <c r="B35" s="25"/>
      <c r="C35" s="25"/>
      <c r="D35" s="25"/>
      <c r="E35" s="25"/>
      <c r="F35" s="25"/>
      <c r="G35" s="25"/>
      <c r="H35" s="25"/>
    </row>
    <row r="36" spans="1:8" x14ac:dyDescent="0.25">
      <c r="B36" s="25"/>
      <c r="C36" s="25"/>
      <c r="D36" s="25"/>
      <c r="E36" s="25"/>
      <c r="F36" s="25"/>
      <c r="G36" s="25"/>
      <c r="H36" s="25"/>
    </row>
    <row r="37" spans="1:8" x14ac:dyDescent="0.25">
      <c r="B37" s="25"/>
      <c r="C37" s="25"/>
      <c r="D37" s="25"/>
      <c r="E37" s="25"/>
      <c r="F37" s="25"/>
      <c r="G37" s="25"/>
      <c r="H37" s="25"/>
    </row>
    <row r="38" spans="1:8" x14ac:dyDescent="0.25">
      <c r="A38" s="1" t="s">
        <v>21</v>
      </c>
      <c r="B38" s="25"/>
      <c r="C38" s="110">
        <f>+C17*Sheet3!C17*12</f>
        <v>-4140.12</v>
      </c>
      <c r="D38" s="110"/>
      <c r="E38" s="110"/>
      <c r="F38" s="25"/>
      <c r="G38" s="25"/>
      <c r="H38" s="25"/>
    </row>
    <row r="39" spans="1:8" x14ac:dyDescent="0.25">
      <c r="A39" s="1" t="s">
        <v>22</v>
      </c>
      <c r="B39" s="25"/>
      <c r="C39" s="110"/>
      <c r="D39" s="110"/>
      <c r="E39" s="110"/>
      <c r="F39" s="25"/>
      <c r="G39" s="25"/>
      <c r="H39" s="25"/>
    </row>
    <row r="40" spans="1:8" x14ac:dyDescent="0.25">
      <c r="A40" s="1" t="s">
        <v>23</v>
      </c>
      <c r="B40" s="25"/>
      <c r="C40" s="110"/>
      <c r="D40" s="110"/>
      <c r="E40" s="110">
        <f>+E19*Sheet2!D19</f>
        <v>-662.0616</v>
      </c>
      <c r="F40" s="25"/>
      <c r="G40" s="25"/>
      <c r="H40" s="25"/>
    </row>
    <row r="41" spans="1:8" x14ac:dyDescent="0.25">
      <c r="A41" s="1" t="s">
        <v>24</v>
      </c>
      <c r="B41" s="25"/>
      <c r="C41" s="110"/>
      <c r="D41" s="110"/>
      <c r="E41" s="110"/>
      <c r="F41" s="25"/>
      <c r="G41" s="25"/>
      <c r="H41" s="25"/>
    </row>
    <row r="42" spans="1:8" x14ac:dyDescent="0.25">
      <c r="A42" s="1" t="s">
        <v>25</v>
      </c>
      <c r="B42" s="25"/>
      <c r="C42" s="110"/>
      <c r="D42" s="110"/>
      <c r="E42" s="110"/>
      <c r="F42" s="25"/>
      <c r="G42" s="25"/>
      <c r="H42" s="25"/>
    </row>
    <row r="43" spans="1:8" x14ac:dyDescent="0.25">
      <c r="A43" s="1" t="s">
        <v>26</v>
      </c>
      <c r="B43" s="25"/>
      <c r="C43" s="110"/>
      <c r="D43" s="110"/>
      <c r="E43" s="110"/>
      <c r="F43" s="25"/>
      <c r="G43" s="25"/>
      <c r="H43" s="25"/>
    </row>
    <row r="44" spans="1:8" x14ac:dyDescent="0.25">
      <c r="A44" s="1" t="s">
        <v>27</v>
      </c>
      <c r="B44" s="25"/>
      <c r="C44" s="110">
        <f>+C23*Sheet3!C23*12</f>
        <v>2352.2400000000002</v>
      </c>
      <c r="D44" s="110"/>
      <c r="E44" s="110">
        <f>+Sheet2!D23</f>
        <v>419</v>
      </c>
      <c r="F44" s="25"/>
      <c r="G44" s="25"/>
      <c r="H44" s="25"/>
    </row>
    <row r="45" spans="1:8" x14ac:dyDescent="0.25">
      <c r="A45" s="1" t="s">
        <v>28</v>
      </c>
      <c r="B45" s="25"/>
      <c r="C45" s="110"/>
      <c r="D45" s="110"/>
      <c r="E45" s="110">
        <f>+E24*Sheet2!D24</f>
        <v>-79.076400000000007</v>
      </c>
      <c r="F45" s="25"/>
      <c r="G45" s="25"/>
      <c r="H45" s="25"/>
    </row>
    <row r="46" spans="1:8" x14ac:dyDescent="0.25">
      <c r="A46" s="1" t="s">
        <v>29</v>
      </c>
      <c r="B46" s="25"/>
      <c r="C46" s="110"/>
      <c r="D46" s="110"/>
      <c r="E46" s="110"/>
      <c r="F46" s="25"/>
      <c r="G46" s="25"/>
      <c r="H46" s="25"/>
    </row>
    <row r="47" spans="1:8" x14ac:dyDescent="0.25">
      <c r="B47" s="25"/>
      <c r="C47" s="110">
        <f>SUM(C38:C46)</f>
        <v>-1787.8799999999997</v>
      </c>
      <c r="D47" s="110"/>
      <c r="E47" s="110">
        <f>SUM(E38:E46)</f>
        <v>-322.13800000000003</v>
      </c>
      <c r="F47" s="25"/>
      <c r="G47" s="25"/>
      <c r="H47" s="25"/>
    </row>
    <row r="48" spans="1:8" x14ac:dyDescent="0.25">
      <c r="B48" s="25"/>
      <c r="C48" s="25"/>
      <c r="D48" s="25"/>
      <c r="E48" s="25"/>
      <c r="F48" s="25"/>
      <c r="G48" s="25"/>
      <c r="H48" s="25"/>
    </row>
    <row r="49" spans="2:8" x14ac:dyDescent="0.25">
      <c r="B49" s="25"/>
      <c r="C49" s="25"/>
      <c r="D49" s="25"/>
      <c r="E49" s="25"/>
      <c r="F49" s="25"/>
      <c r="G49" s="25"/>
      <c r="H49" s="25"/>
    </row>
    <row r="50" spans="2:8" x14ac:dyDescent="0.25">
      <c r="B50" s="25"/>
      <c r="C50" s="25"/>
      <c r="D50" s="25"/>
      <c r="E50" s="25"/>
      <c r="F50" s="25"/>
      <c r="G50" s="25"/>
      <c r="H50" s="25"/>
    </row>
    <row r="51" spans="2:8" x14ac:dyDescent="0.25">
      <c r="B51" s="25"/>
      <c r="C51" s="25"/>
      <c r="D51" s="25"/>
      <c r="E51" s="25"/>
      <c r="F51" s="25"/>
      <c r="G51" s="25"/>
      <c r="H51" s="25"/>
    </row>
    <row r="52" spans="2:8" x14ac:dyDescent="0.25">
      <c r="B52" s="25"/>
      <c r="C52" s="25"/>
      <c r="D52" s="25"/>
      <c r="E52" s="25"/>
      <c r="F52" s="25"/>
      <c r="G52" s="25"/>
      <c r="H52" s="25"/>
    </row>
    <row r="53" spans="2:8" x14ac:dyDescent="0.25">
      <c r="B53" s="25"/>
      <c r="C53" s="25"/>
      <c r="D53" s="25"/>
      <c r="E53" s="25"/>
      <c r="F53" s="25"/>
      <c r="G53" s="25"/>
      <c r="H53" s="25"/>
    </row>
    <row r="54" spans="2:8" x14ac:dyDescent="0.25">
      <c r="B54" s="25"/>
      <c r="C54" s="25"/>
      <c r="D54" s="25"/>
      <c r="E54" s="25"/>
      <c r="F54" s="25"/>
      <c r="G54" s="25"/>
      <c r="H54" s="25"/>
    </row>
    <row r="55" spans="2:8" x14ac:dyDescent="0.25">
      <c r="B55" s="25"/>
      <c r="C55" s="25"/>
      <c r="D55" s="25"/>
      <c r="E55" s="25"/>
      <c r="F55" s="25"/>
      <c r="G55" s="25"/>
      <c r="H55" s="25"/>
    </row>
    <row r="56" spans="2:8" x14ac:dyDescent="0.25">
      <c r="B56" s="25"/>
      <c r="C56" s="25"/>
      <c r="D56" s="25"/>
      <c r="E56" s="25"/>
      <c r="F56" s="25"/>
      <c r="G56" s="25"/>
      <c r="H56" s="25"/>
    </row>
    <row r="57" spans="2:8" x14ac:dyDescent="0.25">
      <c r="B57" s="25"/>
      <c r="C57" s="25"/>
      <c r="D57" s="25"/>
      <c r="E57" s="25"/>
      <c r="F57" s="25"/>
      <c r="G57" s="25"/>
      <c r="H57" s="25"/>
    </row>
    <row r="58" spans="2:8" x14ac:dyDescent="0.25">
      <c r="B58" s="25"/>
      <c r="C58" s="25"/>
      <c r="D58" s="25"/>
      <c r="E58" s="25"/>
      <c r="F58" s="25"/>
      <c r="G58" s="25"/>
      <c r="H58" s="25"/>
    </row>
    <row r="59" spans="2:8" x14ac:dyDescent="0.25">
      <c r="B59" s="25"/>
      <c r="C59" s="25"/>
      <c r="D59" s="25"/>
      <c r="E59" s="25"/>
      <c r="F59" s="25"/>
      <c r="G59" s="25"/>
      <c r="H59" s="25"/>
    </row>
    <row r="60" spans="2:8" x14ac:dyDescent="0.25">
      <c r="B60" s="25"/>
      <c r="C60" s="25"/>
      <c r="D60" s="25"/>
      <c r="E60" s="25"/>
      <c r="F60" s="25"/>
      <c r="G60" s="25"/>
      <c r="H60" s="25"/>
    </row>
    <row r="61" spans="2:8" x14ac:dyDescent="0.25">
      <c r="B61" s="25"/>
      <c r="C61" s="25"/>
      <c r="D61" s="25"/>
      <c r="E61" s="25"/>
      <c r="F61" s="25"/>
      <c r="G61" s="25"/>
      <c r="H61" s="25"/>
    </row>
    <row r="62" spans="2:8" x14ac:dyDescent="0.25">
      <c r="B62" s="25"/>
      <c r="C62" s="25"/>
      <c r="D62" s="25"/>
      <c r="E62" s="25"/>
      <c r="F62" s="25"/>
      <c r="G62" s="25"/>
      <c r="H62" s="25"/>
    </row>
    <row r="63" spans="2:8" x14ac:dyDescent="0.25">
      <c r="B63" s="25"/>
      <c r="C63" s="25"/>
      <c r="D63" s="25"/>
      <c r="E63" s="25"/>
      <c r="F63" s="25"/>
      <c r="G63" s="25"/>
      <c r="H63" s="25"/>
    </row>
    <row r="64" spans="2:8" x14ac:dyDescent="0.25">
      <c r="B64" s="25"/>
      <c r="C64" s="25"/>
      <c r="D64" s="25"/>
      <c r="E64" s="25"/>
      <c r="F64" s="25"/>
      <c r="G64" s="25"/>
      <c r="H64" s="25"/>
    </row>
    <row r="65" spans="2:8" x14ac:dyDescent="0.25">
      <c r="B65" s="25"/>
      <c r="C65" s="25"/>
      <c r="D65" s="25"/>
      <c r="E65" s="25"/>
      <c r="F65" s="25"/>
      <c r="G65" s="25"/>
      <c r="H65" s="25"/>
    </row>
    <row r="66" spans="2:8" x14ac:dyDescent="0.25">
      <c r="B66" s="25"/>
      <c r="C66" s="25"/>
      <c r="D66" s="25"/>
      <c r="E66" s="25"/>
      <c r="F66" s="25"/>
      <c r="G66" s="25"/>
      <c r="H66" s="25"/>
    </row>
    <row r="67" spans="2:8" x14ac:dyDescent="0.25">
      <c r="B67" s="25"/>
      <c r="C67" s="25"/>
      <c r="D67" s="25"/>
      <c r="E67" s="25"/>
      <c r="F67" s="25"/>
      <c r="G67" s="25"/>
      <c r="H67" s="25"/>
    </row>
    <row r="68" spans="2:8" x14ac:dyDescent="0.25">
      <c r="B68" s="25"/>
      <c r="C68" s="25"/>
      <c r="D68" s="25"/>
      <c r="E68" s="25"/>
      <c r="F68" s="25"/>
      <c r="G68" s="25"/>
      <c r="H68" s="25"/>
    </row>
    <row r="69" spans="2:8" x14ac:dyDescent="0.25">
      <c r="B69" s="25"/>
      <c r="C69" s="25"/>
      <c r="D69" s="25"/>
      <c r="E69" s="25"/>
      <c r="F69" s="25"/>
      <c r="G69" s="25"/>
      <c r="H69" s="25"/>
    </row>
    <row r="70" spans="2:8" x14ac:dyDescent="0.25">
      <c r="B70" s="25"/>
      <c r="C70" s="25"/>
      <c r="D70" s="25"/>
      <c r="E70" s="25"/>
      <c r="F70" s="25"/>
      <c r="G70" s="25"/>
      <c r="H70" s="25"/>
    </row>
    <row r="71" spans="2:8" x14ac:dyDescent="0.25">
      <c r="B71" s="25"/>
      <c r="C71" s="25"/>
      <c r="D71" s="25"/>
      <c r="E71" s="25"/>
      <c r="F71" s="25"/>
      <c r="G71" s="25"/>
      <c r="H71" s="25"/>
    </row>
    <row r="72" spans="2:8" x14ac:dyDescent="0.25">
      <c r="B72" s="25"/>
      <c r="C72" s="25"/>
      <c r="D72" s="25"/>
      <c r="E72" s="25"/>
      <c r="F72" s="25"/>
      <c r="G72" s="25"/>
      <c r="H72" s="25"/>
    </row>
    <row r="73" spans="2:8" x14ac:dyDescent="0.25">
      <c r="B73" s="25"/>
      <c r="C73" s="25"/>
      <c r="D73" s="25"/>
      <c r="E73" s="25"/>
      <c r="F73" s="25"/>
      <c r="G73" s="25"/>
      <c r="H73" s="25"/>
    </row>
    <row r="74" spans="2:8" x14ac:dyDescent="0.25">
      <c r="B74" s="25"/>
      <c r="C74" s="25"/>
      <c r="D74" s="25"/>
      <c r="E74" s="25"/>
      <c r="F74" s="25"/>
      <c r="G74" s="25"/>
      <c r="H74" s="25"/>
    </row>
    <row r="75" spans="2:8" x14ac:dyDescent="0.25">
      <c r="B75" s="25"/>
      <c r="C75" s="25"/>
      <c r="D75" s="25"/>
      <c r="E75" s="25"/>
      <c r="F75" s="25"/>
      <c r="G75" s="25"/>
      <c r="H75" s="25"/>
    </row>
    <row r="76" spans="2:8" x14ac:dyDescent="0.25">
      <c r="B76" s="25"/>
      <c r="C76" s="25"/>
      <c r="D76" s="25"/>
      <c r="E76" s="25"/>
      <c r="F76" s="25"/>
      <c r="G76" s="25"/>
      <c r="H76" s="25"/>
    </row>
    <row r="77" spans="2:8" x14ac:dyDescent="0.25">
      <c r="B77" s="25"/>
      <c r="C77" s="25"/>
      <c r="D77" s="25"/>
      <c r="E77" s="25"/>
      <c r="F77" s="25"/>
      <c r="G77" s="25"/>
      <c r="H77" s="25"/>
    </row>
    <row r="78" spans="2:8" x14ac:dyDescent="0.25">
      <c r="B78" s="25"/>
      <c r="C78" s="25"/>
      <c r="D78" s="25"/>
      <c r="E78" s="25"/>
      <c r="F78" s="25"/>
      <c r="G78" s="25"/>
      <c r="H78" s="25"/>
    </row>
    <row r="79" spans="2:8" x14ac:dyDescent="0.25">
      <c r="B79" s="25"/>
      <c r="C79" s="25"/>
      <c r="D79" s="25"/>
      <c r="E79" s="25"/>
      <c r="F79" s="25"/>
      <c r="G79" s="25"/>
      <c r="H79" s="25"/>
    </row>
    <row r="80" spans="2:8" x14ac:dyDescent="0.25">
      <c r="B80" s="25"/>
      <c r="C80" s="25"/>
      <c r="D80" s="25"/>
      <c r="E80" s="25"/>
      <c r="F80" s="25"/>
      <c r="G80" s="25"/>
      <c r="H80" s="25"/>
    </row>
    <row r="81" spans="2:8" x14ac:dyDescent="0.25">
      <c r="B81" s="25"/>
      <c r="C81" s="25"/>
      <c r="D81" s="25"/>
      <c r="E81" s="25"/>
      <c r="F81" s="25"/>
      <c r="G81" s="25"/>
      <c r="H81" s="25"/>
    </row>
    <row r="82" spans="2:8" x14ac:dyDescent="0.25">
      <c r="B82" s="25"/>
      <c r="C82" s="25"/>
      <c r="D82" s="25"/>
      <c r="E82" s="25"/>
      <c r="F82" s="25"/>
      <c r="G82" s="25"/>
      <c r="H82" s="25"/>
    </row>
    <row r="83" spans="2:8" x14ac:dyDescent="0.25">
      <c r="B83" s="25"/>
      <c r="C83" s="25"/>
      <c r="D83" s="25"/>
      <c r="E83" s="25"/>
      <c r="F83" s="25"/>
      <c r="G83" s="25"/>
      <c r="H83" s="25"/>
    </row>
    <row r="84" spans="2:8" x14ac:dyDescent="0.25">
      <c r="B84" s="25"/>
      <c r="C84" s="25"/>
      <c r="D84" s="25"/>
      <c r="E84" s="25"/>
      <c r="F84" s="25"/>
      <c r="G84" s="25"/>
      <c r="H84" s="25"/>
    </row>
    <row r="85" spans="2:8" x14ac:dyDescent="0.25">
      <c r="B85" s="25"/>
      <c r="C85" s="25"/>
      <c r="D85" s="25"/>
      <c r="E85" s="25"/>
      <c r="F85" s="25"/>
      <c r="G85" s="25"/>
      <c r="H85" s="25"/>
    </row>
    <row r="86" spans="2:8" x14ac:dyDescent="0.25">
      <c r="B86" s="25"/>
      <c r="C86" s="25"/>
      <c r="D86" s="25"/>
      <c r="E86" s="25"/>
      <c r="F86" s="25"/>
      <c r="G86" s="25"/>
      <c r="H86" s="25"/>
    </row>
    <row r="87" spans="2:8" x14ac:dyDescent="0.25">
      <c r="B87" s="25"/>
      <c r="C87" s="25"/>
      <c r="D87" s="25"/>
      <c r="E87" s="25"/>
      <c r="F87" s="25"/>
      <c r="G87" s="25"/>
      <c r="H87" s="25"/>
    </row>
    <row r="88" spans="2:8" x14ac:dyDescent="0.25">
      <c r="B88" s="25"/>
      <c r="C88" s="25"/>
      <c r="D88" s="25"/>
      <c r="E88" s="25"/>
      <c r="F88" s="25"/>
      <c r="G88" s="25"/>
      <c r="H88" s="25"/>
    </row>
    <row r="89" spans="2:8" x14ac:dyDescent="0.25">
      <c r="B89" s="25"/>
      <c r="C89" s="25"/>
      <c r="D89" s="25"/>
      <c r="E89" s="25"/>
      <c r="F89" s="25"/>
      <c r="G89" s="25"/>
      <c r="H89" s="25"/>
    </row>
    <row r="90" spans="2:8" x14ac:dyDescent="0.25">
      <c r="B90" s="25"/>
      <c r="C90" s="25"/>
      <c r="D90" s="25"/>
      <c r="E90" s="25"/>
      <c r="F90" s="25"/>
      <c r="G90" s="25"/>
      <c r="H90" s="25"/>
    </row>
    <row r="91" spans="2:8" x14ac:dyDescent="0.25">
      <c r="B91" s="25"/>
      <c r="C91" s="25"/>
      <c r="D91" s="25"/>
      <c r="E91" s="25"/>
      <c r="F91" s="25"/>
      <c r="G91" s="25"/>
      <c r="H91" s="25"/>
    </row>
    <row r="92" spans="2:8" x14ac:dyDescent="0.25">
      <c r="B92" s="25"/>
      <c r="C92" s="25"/>
      <c r="D92" s="25"/>
      <c r="E92" s="25"/>
      <c r="F92" s="25"/>
      <c r="G92" s="25"/>
      <c r="H92" s="25"/>
    </row>
    <row r="93" spans="2:8" x14ac:dyDescent="0.25">
      <c r="B93" s="25"/>
      <c r="C93" s="25"/>
      <c r="D93" s="25"/>
      <c r="E93" s="25"/>
      <c r="F93" s="25"/>
      <c r="G93" s="25"/>
      <c r="H93" s="25"/>
    </row>
    <row r="94" spans="2:8" x14ac:dyDescent="0.25">
      <c r="B94" s="25"/>
      <c r="C94" s="25"/>
      <c r="D94" s="25"/>
      <c r="E94" s="25"/>
      <c r="F94" s="25"/>
      <c r="G94" s="25"/>
      <c r="H94" s="25"/>
    </row>
    <row r="95" spans="2:8" x14ac:dyDescent="0.25">
      <c r="B95" s="25"/>
      <c r="C95" s="25"/>
      <c r="D95" s="25"/>
      <c r="E95" s="25"/>
      <c r="F95" s="25"/>
      <c r="G95" s="25"/>
      <c r="H95" s="25"/>
    </row>
    <row r="96" spans="2:8" x14ac:dyDescent="0.25">
      <c r="B96" s="25"/>
      <c r="C96" s="25"/>
      <c r="D96" s="25"/>
      <c r="E96" s="25"/>
      <c r="F96" s="25"/>
      <c r="G96" s="25"/>
      <c r="H96" s="25"/>
    </row>
    <row r="97" spans="2:8" x14ac:dyDescent="0.25">
      <c r="B97" s="25"/>
      <c r="C97" s="25"/>
      <c r="D97" s="25"/>
      <c r="E97" s="25"/>
      <c r="F97" s="25"/>
      <c r="G97" s="25"/>
      <c r="H97" s="25"/>
    </row>
    <row r="98" spans="2:8" x14ac:dyDescent="0.25">
      <c r="B98" s="25"/>
      <c r="C98" s="25"/>
      <c r="D98" s="25"/>
      <c r="E98" s="25"/>
      <c r="F98" s="25"/>
      <c r="G98" s="25"/>
      <c r="H98" s="25"/>
    </row>
    <row r="99" spans="2:8" x14ac:dyDescent="0.25">
      <c r="B99" s="25"/>
      <c r="C99" s="25"/>
      <c r="D99" s="25"/>
      <c r="E99" s="25"/>
      <c r="F99" s="25"/>
      <c r="G99" s="25"/>
      <c r="H99" s="25"/>
    </row>
    <row r="100" spans="2:8" x14ac:dyDescent="0.25">
      <c r="B100" s="25"/>
      <c r="C100" s="25"/>
      <c r="D100" s="25"/>
      <c r="E100" s="25"/>
      <c r="F100" s="25"/>
      <c r="G100" s="25"/>
      <c r="H100" s="25"/>
    </row>
  </sheetData>
  <mergeCells count="1">
    <mergeCell ref="A11:H11"/>
  </mergeCells>
  <dataValidations disablePrompts="1" count="2">
    <dataValidation type="list" allowBlank="1" showInputMessage="1" showErrorMessage="1" sqref="AD1">
      <formula1>"YES, NO"</formula1>
    </dataValidation>
    <dataValidation type="list" allowBlank="1" showInputMessage="1" showErrorMessage="1" sqref="B13">
      <formula1>"I, II, III, IV, V"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7"/>
  <sheetViews>
    <sheetView workbookViewId="0">
      <selection activeCell="D24" sqref="D24"/>
    </sheetView>
  </sheetViews>
  <sheetFormatPr defaultColWidth="9.140625" defaultRowHeight="15" x14ac:dyDescent="0.25"/>
  <cols>
    <col min="1" max="1" width="64.85546875" style="1" bestFit="1" customWidth="1"/>
    <col min="2" max="2" width="9.140625" style="1" customWidth="1"/>
    <col min="3" max="3" width="14.7109375" style="1" bestFit="1" customWidth="1"/>
    <col min="4" max="4" width="13.42578125" style="1" bestFit="1" customWidth="1"/>
    <col min="5" max="5" width="16.140625" style="1" customWidth="1"/>
    <col min="6" max="8" width="17.7109375" style="1" customWidth="1"/>
    <col min="9" max="9" width="18" style="1" customWidth="1"/>
    <col min="10" max="10" width="17.7109375" style="1" customWidth="1"/>
    <col min="11" max="11" width="18.28515625" style="1" hidden="1" customWidth="1"/>
    <col min="12" max="13" width="18.28515625" style="1" customWidth="1"/>
    <col min="14" max="14" width="18.28515625" style="1" hidden="1" customWidth="1"/>
    <col min="15" max="17" width="19.140625" style="1" hidden="1" customWidth="1"/>
    <col min="18" max="18" width="19.140625" style="1" customWidth="1"/>
    <col min="19" max="19" width="22.42578125" style="1" customWidth="1"/>
    <col min="20" max="20" width="18.140625" style="1" customWidth="1"/>
    <col min="21" max="16384" width="9.140625" style="1"/>
  </cols>
  <sheetData>
    <row r="1" spans="1:73" s="45" customFormat="1" x14ac:dyDescent="0.25">
      <c r="R1" s="45" t="s">
        <v>41</v>
      </c>
      <c r="BU1" s="46"/>
    </row>
    <row r="2" spans="1:73" s="45" customFormat="1" x14ac:dyDescent="0.25">
      <c r="B2" s="46" t="b">
        <v>1</v>
      </c>
    </row>
    <row r="3" spans="1:73" s="45" customFormat="1" x14ac:dyDescent="0.25"/>
    <row r="4" spans="1:73" s="45" customFormat="1" x14ac:dyDescent="0.25"/>
    <row r="5" spans="1:73" s="45" customFormat="1" x14ac:dyDescent="0.25"/>
    <row r="6" spans="1:73" s="45" customFormat="1" x14ac:dyDescent="0.25"/>
    <row r="7" spans="1:73" s="45" customFormat="1" x14ac:dyDescent="0.25"/>
    <row r="8" spans="1:73" s="45" customFormat="1" x14ac:dyDescent="0.25">
      <c r="A8" s="47"/>
      <c r="C8" s="48"/>
    </row>
    <row r="9" spans="1:73" s="45" customFormat="1" x14ac:dyDescent="0.25"/>
    <row r="10" spans="1:73" s="45" customFormat="1" x14ac:dyDescent="0.25"/>
    <row r="11" spans="1:73" s="45" customFormat="1" x14ac:dyDescent="0.25"/>
    <row r="12" spans="1:73" s="45" customFormat="1" x14ac:dyDescent="0.25">
      <c r="A12" s="49"/>
    </row>
    <row r="13" spans="1:73" ht="27" customHeight="1" x14ac:dyDescent="0.25">
      <c r="A13" s="50"/>
      <c r="B13" s="51"/>
      <c r="C13" s="50"/>
      <c r="D13" s="50"/>
      <c r="E13" s="50"/>
      <c r="F13" s="50"/>
      <c r="G13" s="50"/>
      <c r="H13" s="52"/>
      <c r="I13" s="52"/>
      <c r="J13" s="52"/>
      <c r="K13" s="18"/>
      <c r="L13" s="18"/>
      <c r="M13" s="18"/>
      <c r="N13" s="18"/>
      <c r="O13" s="18"/>
      <c r="P13" s="18"/>
      <c r="Q13" s="18"/>
      <c r="R13" s="18"/>
    </row>
    <row r="14" spans="1:73" s="56" customFormat="1" x14ac:dyDescent="0.25">
      <c r="A14" s="1"/>
      <c r="B14" s="53"/>
      <c r="C14" s="54"/>
      <c r="D14" s="54"/>
      <c r="E14" s="54"/>
      <c r="F14" s="54"/>
      <c r="G14" s="54"/>
      <c r="H14" s="54"/>
      <c r="I14" s="53"/>
      <c r="J14" s="53"/>
      <c r="K14" s="55"/>
      <c r="L14" s="55"/>
      <c r="M14" s="55"/>
      <c r="N14" s="55"/>
      <c r="O14" s="55"/>
      <c r="P14" s="55"/>
      <c r="Q14" s="55"/>
      <c r="R14" s="55"/>
    </row>
    <row r="15" spans="1:73" s="56" customFormat="1" ht="22.5" customHeight="1" thickBot="1" x14ac:dyDescent="0.3">
      <c r="A15" s="57"/>
      <c r="B15" s="57"/>
      <c r="C15" s="58" t="s">
        <v>42</v>
      </c>
      <c r="D15" s="58" t="s">
        <v>43</v>
      </c>
      <c r="E15" s="58" t="s">
        <v>44</v>
      </c>
      <c r="F15" s="58" t="s">
        <v>45</v>
      </c>
      <c r="G15" s="59" t="s">
        <v>46</v>
      </c>
      <c r="H15" s="59" t="s">
        <v>47</v>
      </c>
      <c r="I15" s="58" t="s">
        <v>48</v>
      </c>
      <c r="J15" s="58" t="s">
        <v>49</v>
      </c>
      <c r="K15" s="59" t="s">
        <v>50</v>
      </c>
      <c r="L15" s="59" t="s">
        <v>51</v>
      </c>
      <c r="M15" s="59" t="s">
        <v>52</v>
      </c>
      <c r="N15" s="59" t="s">
        <v>53</v>
      </c>
      <c r="O15" s="59" t="s">
        <v>54</v>
      </c>
      <c r="P15" s="59" t="s">
        <v>55</v>
      </c>
      <c r="Q15" s="59" t="s">
        <v>56</v>
      </c>
      <c r="R15" s="60" t="s">
        <v>57</v>
      </c>
      <c r="S15" s="61" t="s">
        <v>58</v>
      </c>
    </row>
    <row r="16" spans="1:73" s="68" customFormat="1" ht="30.75" customHeight="1" thickBot="1" x14ac:dyDescent="0.3">
      <c r="A16" s="62" t="s">
        <v>13</v>
      </c>
      <c r="B16" s="63" t="s">
        <v>59</v>
      </c>
      <c r="C16" s="64"/>
      <c r="D16" s="64"/>
      <c r="E16" s="64"/>
      <c r="F16" s="64"/>
      <c r="G16" s="65"/>
      <c r="H16" s="65"/>
      <c r="I16" s="64"/>
      <c r="J16" s="64"/>
      <c r="K16" s="65"/>
      <c r="L16" s="65"/>
      <c r="M16" s="65"/>
      <c r="N16" s="65"/>
      <c r="O16" s="65"/>
      <c r="P16" s="65"/>
      <c r="Q16" s="65"/>
      <c r="R16" s="66"/>
      <c r="S16" s="67"/>
    </row>
    <row r="17" spans="1:20" ht="15.75" customHeight="1" thickBot="1" x14ac:dyDescent="0.3">
      <c r="A17" s="69" t="s">
        <v>21</v>
      </c>
      <c r="B17" s="70" t="s">
        <v>60</v>
      </c>
      <c r="C17" s="71">
        <v>298391164</v>
      </c>
      <c r="D17" s="72">
        <v>0</v>
      </c>
      <c r="E17" s="72">
        <v>13664076</v>
      </c>
      <c r="F17" s="72">
        <v>0</v>
      </c>
      <c r="G17" s="73"/>
      <c r="H17" s="73"/>
      <c r="I17" s="74">
        <f>C17-G17</f>
        <v>298391164</v>
      </c>
      <c r="J17" s="74">
        <f>D17-H17</f>
        <v>0</v>
      </c>
      <c r="K17" s="75"/>
      <c r="L17" s="75">
        <v>0.3417</v>
      </c>
      <c r="M17" s="75">
        <v>0.35626716002065734</v>
      </c>
      <c r="N17" s="75"/>
      <c r="O17" s="75"/>
      <c r="P17" s="75"/>
      <c r="Q17" s="75"/>
      <c r="R17" s="76"/>
      <c r="S17" s="77">
        <v>32992</v>
      </c>
    </row>
    <row r="18" spans="1:20" ht="15.75" customHeight="1" thickBot="1" x14ac:dyDescent="0.3">
      <c r="A18" s="69" t="s">
        <v>22</v>
      </c>
      <c r="B18" s="70" t="s">
        <v>60</v>
      </c>
      <c r="C18" s="71">
        <v>89184096</v>
      </c>
      <c r="D18" s="72">
        <v>0</v>
      </c>
      <c r="E18" s="72">
        <v>14152488</v>
      </c>
      <c r="F18" s="72">
        <v>0</v>
      </c>
      <c r="G18" s="73"/>
      <c r="H18" s="73"/>
      <c r="I18" s="74">
        <f>C18-G18</f>
        <v>89184096</v>
      </c>
      <c r="J18" s="74">
        <f>D18-H18</f>
        <v>0</v>
      </c>
      <c r="K18" s="75"/>
      <c r="L18" s="75">
        <v>0.11</v>
      </c>
      <c r="M18" s="75">
        <v>0.1034342640457593</v>
      </c>
      <c r="N18" s="75"/>
      <c r="O18" s="75"/>
      <c r="P18" s="75"/>
      <c r="Q18" s="75"/>
      <c r="R18" s="76"/>
      <c r="S18" s="77">
        <v>2570</v>
      </c>
    </row>
    <row r="19" spans="1:20" ht="15.75" customHeight="1" thickBot="1" x14ac:dyDescent="0.3">
      <c r="A19" s="69" t="s">
        <v>23</v>
      </c>
      <c r="B19" s="70" t="s">
        <v>61</v>
      </c>
      <c r="C19" s="71">
        <v>205983767</v>
      </c>
      <c r="D19" s="72">
        <v>551718</v>
      </c>
      <c r="E19" s="72">
        <v>190124343</v>
      </c>
      <c r="F19" s="72">
        <v>493604</v>
      </c>
      <c r="G19" s="73">
        <v>4740949</v>
      </c>
      <c r="H19" s="73">
        <v>8837.92</v>
      </c>
      <c r="I19" s="74">
        <f>C19-G19</f>
        <v>201242818</v>
      </c>
      <c r="J19" s="74">
        <f>D19-H19</f>
        <v>542880.07999999996</v>
      </c>
      <c r="K19" s="75"/>
      <c r="L19" s="75">
        <v>0.27500000000000002</v>
      </c>
      <c r="M19" s="75">
        <v>0.25814840565553643</v>
      </c>
      <c r="N19" s="75"/>
      <c r="O19" s="75"/>
      <c r="P19" s="75"/>
      <c r="Q19" s="75"/>
      <c r="R19" s="76"/>
      <c r="S19" s="77"/>
    </row>
    <row r="20" spans="1:20" ht="15.75" customHeight="1" thickBot="1" x14ac:dyDescent="0.3">
      <c r="A20" s="69" t="s">
        <v>24</v>
      </c>
      <c r="B20" s="70" t="s">
        <v>61</v>
      </c>
      <c r="C20" s="71">
        <v>110459354</v>
      </c>
      <c r="D20" s="72">
        <v>256545</v>
      </c>
      <c r="E20" s="72">
        <v>95251488</v>
      </c>
      <c r="F20" s="72">
        <v>225953</v>
      </c>
      <c r="G20" s="73"/>
      <c r="H20" s="73"/>
      <c r="I20" s="74">
        <f>C20-G20</f>
        <v>110459354</v>
      </c>
      <c r="J20" s="74">
        <f>D20-H20</f>
        <v>256545</v>
      </c>
      <c r="K20" s="75"/>
      <c r="L20" s="75">
        <v>0.17</v>
      </c>
      <c r="M20" s="75">
        <v>0.15394444641840072</v>
      </c>
      <c r="N20" s="75"/>
      <c r="O20" s="75"/>
      <c r="P20" s="75"/>
      <c r="Q20" s="75"/>
      <c r="R20" s="76"/>
      <c r="S20" s="77"/>
    </row>
    <row r="21" spans="1:20" ht="15.75" customHeight="1" thickBot="1" x14ac:dyDescent="0.3">
      <c r="A21" s="69" t="s">
        <v>25</v>
      </c>
      <c r="B21" s="70" t="s">
        <v>61</v>
      </c>
      <c r="C21" s="71">
        <v>135321174</v>
      </c>
      <c r="D21" s="72">
        <v>253386</v>
      </c>
      <c r="E21" s="72">
        <v>135321174</v>
      </c>
      <c r="F21" s="72">
        <v>253386</v>
      </c>
      <c r="G21" s="73"/>
      <c r="H21" s="73"/>
      <c r="I21" s="74">
        <f>C21-G21</f>
        <v>135321174</v>
      </c>
      <c r="J21" s="74">
        <f>D21-H21</f>
        <v>253386</v>
      </c>
      <c r="K21" s="75"/>
      <c r="L21" s="75">
        <v>0.09</v>
      </c>
      <c r="M21" s="75">
        <v>0.11725017760441858</v>
      </c>
      <c r="N21" s="75"/>
      <c r="O21" s="75"/>
      <c r="P21" s="75"/>
      <c r="Q21" s="75"/>
      <c r="R21" s="76"/>
      <c r="S21" s="77"/>
    </row>
    <row r="22" spans="1:20" ht="15.75" customHeight="1" thickBot="1" x14ac:dyDescent="0.3">
      <c r="A22" s="69" t="s">
        <v>26</v>
      </c>
      <c r="B22" s="70" t="s">
        <v>60</v>
      </c>
      <c r="C22" s="71">
        <v>1188593</v>
      </c>
      <c r="D22" s="72">
        <v>0</v>
      </c>
      <c r="E22" s="72">
        <v>0</v>
      </c>
      <c r="F22" s="72">
        <v>0</v>
      </c>
      <c r="G22" s="73"/>
      <c r="H22" s="73"/>
      <c r="I22" s="74">
        <f>C22-G22</f>
        <v>1188593</v>
      </c>
      <c r="J22" s="74">
        <f>D22-H22</f>
        <v>0</v>
      </c>
      <c r="K22" s="75"/>
      <c r="L22" s="75">
        <v>0</v>
      </c>
      <c r="M22" s="75">
        <v>2.0792757467277189E-3</v>
      </c>
      <c r="N22" s="75"/>
      <c r="O22" s="75"/>
      <c r="P22" s="75"/>
      <c r="Q22" s="75"/>
      <c r="R22" s="76"/>
      <c r="S22" s="77"/>
    </row>
    <row r="23" spans="1:20" ht="15.75" customHeight="1" thickBot="1" x14ac:dyDescent="0.3">
      <c r="A23" s="69" t="s">
        <v>27</v>
      </c>
      <c r="B23" s="78" t="s">
        <v>61</v>
      </c>
      <c r="C23" s="79">
        <v>150941</v>
      </c>
      <c r="D23" s="80">
        <v>419</v>
      </c>
      <c r="E23" s="80">
        <v>0</v>
      </c>
      <c r="F23" s="80">
        <v>0</v>
      </c>
      <c r="G23" s="81"/>
      <c r="H23" s="81"/>
      <c r="I23" s="82">
        <f>C23-G23</f>
        <v>150941</v>
      </c>
      <c r="J23" s="82">
        <f>D23-H23</f>
        <v>419</v>
      </c>
      <c r="K23" s="83"/>
      <c r="L23" s="83">
        <v>0</v>
      </c>
      <c r="M23" s="83">
        <v>2.2873175586759825E-4</v>
      </c>
      <c r="N23" s="83"/>
      <c r="O23" s="83"/>
      <c r="P23" s="83"/>
      <c r="Q23" s="83"/>
      <c r="R23" s="84"/>
      <c r="S23" s="85"/>
    </row>
    <row r="24" spans="1:20" ht="15.75" customHeight="1" thickBot="1" x14ac:dyDescent="0.3">
      <c r="A24" s="86" t="s">
        <v>28</v>
      </c>
      <c r="B24" s="87" t="s">
        <v>61</v>
      </c>
      <c r="C24" s="88">
        <v>7617578</v>
      </c>
      <c r="D24" s="89">
        <v>21372</v>
      </c>
      <c r="E24" s="89">
        <v>7617578</v>
      </c>
      <c r="F24" s="89">
        <v>21372</v>
      </c>
      <c r="G24" s="90"/>
      <c r="H24" s="90"/>
      <c r="I24" s="91">
        <f>C24-G24</f>
        <v>7617578</v>
      </c>
      <c r="J24" s="91">
        <f>D24-H24</f>
        <v>21372</v>
      </c>
      <c r="K24" s="92"/>
      <c r="L24" s="92">
        <v>0.01</v>
      </c>
      <c r="M24" s="92">
        <v>8.6475387526322983E-3</v>
      </c>
      <c r="N24" s="92"/>
      <c r="O24" s="92"/>
      <c r="P24" s="92"/>
      <c r="Q24" s="92"/>
      <c r="R24" s="93"/>
      <c r="S24" s="94"/>
    </row>
    <row r="25" spans="1:20" x14ac:dyDescent="0.25">
      <c r="B25" s="95" t="s">
        <v>62</v>
      </c>
      <c r="C25" s="96">
        <f>SUM($C$17:$C$24)</f>
        <v>848296667</v>
      </c>
      <c r="D25" s="96">
        <f>SUM($D$17:$D$24)</f>
        <v>1083440</v>
      </c>
      <c r="E25" s="96">
        <f>SUM($E$17:$E$24)</f>
        <v>456131147</v>
      </c>
      <c r="F25" s="96">
        <f>SUM($F$17:$F$24)</f>
        <v>994315</v>
      </c>
      <c r="G25" s="96">
        <f>SUM($G$17:$G$24)</f>
        <v>4740949</v>
      </c>
      <c r="H25" s="96">
        <f>SUM($H$17:$H$24)</f>
        <v>8837.92</v>
      </c>
      <c r="I25" s="96">
        <f>SUM($I$17:$I$24)</f>
        <v>843555718</v>
      </c>
      <c r="J25" s="96">
        <f>SUM($J$17:$J$24)</f>
        <v>1074602.08</v>
      </c>
      <c r="K25" s="97">
        <f>SUM($K$17:$K$24)</f>
        <v>0</v>
      </c>
      <c r="L25" s="97">
        <f>SUM($L$17:$L$24)</f>
        <v>0.99670000000000003</v>
      </c>
      <c r="M25" s="97">
        <f>SUM($M$17:$M$24)</f>
        <v>1</v>
      </c>
      <c r="N25" s="97">
        <f>SUM($N$17:$N$24)</f>
        <v>0</v>
      </c>
      <c r="O25" s="97">
        <f>SUM($O$17:$O$24)</f>
        <v>0</v>
      </c>
      <c r="P25" s="97">
        <f>SUM($P$17:$P$24)</f>
        <v>0</v>
      </c>
      <c r="Q25" s="97">
        <f>SUM($Q$17:$Q$24)</f>
        <v>0</v>
      </c>
      <c r="R25" s="98">
        <f>SUM($R$17:$R$24)</f>
        <v>0</v>
      </c>
      <c r="S25" s="99">
        <f>SUM($S$17:$S$24)</f>
        <v>35562</v>
      </c>
    </row>
    <row r="26" spans="1:20" ht="15.75" thickBot="1" x14ac:dyDescent="0.3"/>
    <row r="27" spans="1:20" ht="15.75" thickBot="1" x14ac:dyDescent="0.3">
      <c r="A27" s="100" t="s">
        <v>63</v>
      </c>
      <c r="R27" s="101" t="s">
        <v>64</v>
      </c>
      <c r="S27" s="102"/>
      <c r="T27" s="103">
        <f>'[1]3. Continuity Schedule'!BT42</f>
        <v>0</v>
      </c>
    </row>
    <row r="28" spans="1:20" ht="26.25" customHeight="1" thickBot="1" x14ac:dyDescent="0.3">
      <c r="A28" s="104" t="s">
        <v>65</v>
      </c>
      <c r="C28" s="105">
        <v>-2248427.0116666667</v>
      </c>
      <c r="R28" s="106" t="str">
        <f>IF(T27=R25,"Total Balance of Account 1568 in Column R matches the amount entered on the Continuity Schedule","Total Balance of Account 1568 in Column R DOES NOT MATCH the amount entered on the Continuity Schedule")</f>
        <v>Total Balance of Account 1568 in Column R matches the amount entered on the Continuity Schedule</v>
      </c>
      <c r="S28" s="107"/>
      <c r="T28" s="107"/>
    </row>
    <row r="29" spans="1:20" x14ac:dyDescent="0.25">
      <c r="A29" s="104" t="s">
        <v>66</v>
      </c>
      <c r="C29" s="105">
        <v>-2248427.0116666667</v>
      </c>
    </row>
    <row r="30" spans="1:20" x14ac:dyDescent="0.25">
      <c r="A30" s="104" t="s">
        <v>67</v>
      </c>
      <c r="C30" s="108">
        <v>-2.6505196815380942E-3</v>
      </c>
    </row>
    <row r="32" spans="1:20" x14ac:dyDescent="0.25">
      <c r="C32" s="109"/>
    </row>
    <row r="34" spans="1:1" ht="17.25" x14ac:dyDescent="0.25">
      <c r="A34" s="44" t="s">
        <v>68</v>
      </c>
    </row>
    <row r="35" spans="1:1" ht="17.25" x14ac:dyDescent="0.25">
      <c r="A35" s="44" t="s">
        <v>69</v>
      </c>
    </row>
    <row r="36" spans="1:1" ht="17.25" x14ac:dyDescent="0.25">
      <c r="A36" s="44" t="s">
        <v>70</v>
      </c>
    </row>
    <row r="37" spans="1:1" ht="17.25" x14ac:dyDescent="0.25">
      <c r="A37" s="44"/>
    </row>
  </sheetData>
  <mergeCells count="21">
    <mergeCell ref="P15:P16"/>
    <mergeCell ref="Q15:Q16"/>
    <mergeCell ref="R15:R16"/>
    <mergeCell ref="S15:S16"/>
    <mergeCell ref="R28:T28"/>
    <mergeCell ref="J15:J16"/>
    <mergeCell ref="K15:K16"/>
    <mergeCell ref="L15:L16"/>
    <mergeCell ref="M15:M16"/>
    <mergeCell ref="N15:N16"/>
    <mergeCell ref="O15:O16"/>
    <mergeCell ref="A13:G13"/>
    <mergeCell ref="C14:H14"/>
    <mergeCell ref="K14:R14"/>
    <mergeCell ref="C15:C16"/>
    <mergeCell ref="D15:D16"/>
    <mergeCell ref="E15:E16"/>
    <mergeCell ref="F15:F16"/>
    <mergeCell ref="G15:G16"/>
    <mergeCell ref="H15:H16"/>
    <mergeCell ref="I15:I16"/>
  </mergeCells>
  <dataValidations count="1">
    <dataValidation type="list" allowBlank="1" showInputMessage="1" showErrorMessage="1" sqref="B13 B17:B24">
      <formula1>"kWh, kW, kVA"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1"/>
  <sheetViews>
    <sheetView workbookViewId="0">
      <selection sqref="A1:XFD1048576"/>
    </sheetView>
  </sheetViews>
  <sheetFormatPr defaultColWidth="9.140625" defaultRowHeight="15" x14ac:dyDescent="0.25"/>
  <cols>
    <col min="1" max="1" width="61.5703125" style="1" bestFit="1" customWidth="1"/>
    <col min="2" max="2" width="9.140625" style="1"/>
    <col min="3" max="3" width="23.5703125" style="1" customWidth="1"/>
    <col min="4" max="5" width="16" style="1" bestFit="1" customWidth="1"/>
    <col min="6" max="6" width="12.7109375" style="1" bestFit="1" customWidth="1"/>
    <col min="7" max="7" width="16.5703125" style="1" bestFit="1" customWidth="1"/>
    <col min="8" max="9" width="16.85546875" style="1" bestFit="1" customWidth="1"/>
    <col min="10" max="10" width="19.7109375" style="1" customWidth="1"/>
    <col min="11" max="11" width="15.42578125" style="1" bestFit="1" customWidth="1"/>
    <col min="12" max="13" width="16.85546875" style="1" bestFit="1" customWidth="1"/>
    <col min="14" max="14" width="19.28515625" style="1" bestFit="1" customWidth="1"/>
    <col min="15" max="15" width="23.42578125" style="1" customWidth="1"/>
    <col min="16" max="16" width="17.85546875" style="1" bestFit="1" customWidth="1"/>
    <col min="17" max="18" width="19.28515625" style="1" bestFit="1" customWidth="1"/>
    <col min="19" max="19" width="17.5703125" style="1" bestFit="1" customWidth="1"/>
    <col min="20" max="16384" width="9.140625" style="1"/>
  </cols>
  <sheetData>
    <row r="2" spans="1:20" x14ac:dyDescent="0.25">
      <c r="B2" s="111"/>
    </row>
    <row r="12" spans="1:20" ht="15.75" x14ac:dyDescent="0.25">
      <c r="A12" s="112" t="s">
        <v>71</v>
      </c>
    </row>
    <row r="13" spans="1:20" ht="15.75" x14ac:dyDescent="0.25">
      <c r="A13" s="113" t="s">
        <v>72</v>
      </c>
    </row>
    <row r="15" spans="1:20" s="116" customFormat="1" ht="51" x14ac:dyDescent="0.2">
      <c r="A15" s="114" t="s">
        <v>13</v>
      </c>
      <c r="B15" s="115"/>
      <c r="C15" s="115" t="s">
        <v>73</v>
      </c>
      <c r="D15" s="115" t="s">
        <v>74</v>
      </c>
      <c r="E15" s="115" t="s">
        <v>75</v>
      </c>
      <c r="F15" s="115" t="s">
        <v>76</v>
      </c>
      <c r="G15" s="115" t="s">
        <v>77</v>
      </c>
      <c r="H15" s="115" t="s">
        <v>78</v>
      </c>
      <c r="I15" s="115" t="s">
        <v>79</v>
      </c>
      <c r="J15" s="115" t="s">
        <v>80</v>
      </c>
      <c r="K15" s="115" t="s">
        <v>81</v>
      </c>
      <c r="L15" s="115" t="s">
        <v>82</v>
      </c>
      <c r="M15" s="115" t="s">
        <v>83</v>
      </c>
      <c r="N15" s="115" t="s">
        <v>84</v>
      </c>
      <c r="O15" s="115" t="s">
        <v>85</v>
      </c>
      <c r="P15" s="115" t="s">
        <v>86</v>
      </c>
    </row>
    <row r="16" spans="1:20" s="4" customFormat="1" ht="15.75" x14ac:dyDescent="0.25">
      <c r="A16" s="117"/>
      <c r="B16" s="118"/>
      <c r="C16" s="118" t="s">
        <v>87</v>
      </c>
      <c r="D16" s="118" t="s">
        <v>88</v>
      </c>
      <c r="E16" s="118" t="s">
        <v>89</v>
      </c>
      <c r="F16" s="118" t="s">
        <v>90</v>
      </c>
      <c r="G16" s="118" t="s">
        <v>91</v>
      </c>
      <c r="H16" s="118" t="s">
        <v>92</v>
      </c>
      <c r="I16" s="118" t="s">
        <v>93</v>
      </c>
      <c r="J16" s="118" t="s">
        <v>94</v>
      </c>
      <c r="K16" s="118" t="s">
        <v>95</v>
      </c>
      <c r="L16" s="118" t="s">
        <v>96</v>
      </c>
      <c r="M16" s="118" t="s">
        <v>97</v>
      </c>
      <c r="N16" s="118" t="s">
        <v>98</v>
      </c>
      <c r="O16" s="118" t="s">
        <v>99</v>
      </c>
      <c r="P16" s="118" t="s">
        <v>100</v>
      </c>
      <c r="Q16" s="119"/>
      <c r="R16" s="119"/>
      <c r="S16" s="119"/>
      <c r="T16" s="119"/>
    </row>
    <row r="17" spans="1:24" ht="15.75" customHeight="1" thickBot="1" x14ac:dyDescent="0.3">
      <c r="A17" s="69" t="s">
        <v>21</v>
      </c>
      <c r="B17" s="1" t="s">
        <v>60</v>
      </c>
      <c r="C17" s="120">
        <v>34501</v>
      </c>
      <c r="D17" s="121">
        <v>311504507</v>
      </c>
      <c r="E17" s="121"/>
      <c r="F17" s="122">
        <v>18.61</v>
      </c>
      <c r="G17" s="123">
        <v>1.0999999999999999E-2</v>
      </c>
      <c r="H17" s="124"/>
      <c r="I17" s="37">
        <f>F17*C17*12</f>
        <v>7704763.3200000003</v>
      </c>
      <c r="J17" s="37">
        <f>D17*G17</f>
        <v>3426549.5769999996</v>
      </c>
      <c r="K17" s="37">
        <f>E17*H17</f>
        <v>0</v>
      </c>
      <c r="L17" s="37">
        <f>I17+J17+K17</f>
        <v>11131312.897</v>
      </c>
      <c r="M17" s="125">
        <f>IF(ISERROR(I17/L17),0,I17/L17)</f>
        <v>0.69217022208373202</v>
      </c>
      <c r="N17" s="125">
        <f>IF(ISERROR(J17/L17),0,J17/L17)</f>
        <v>0.30782977791626798</v>
      </c>
      <c r="O17" s="125">
        <f>IF(ISERROR(K17/L17),0,K17/L17)</f>
        <v>0</v>
      </c>
      <c r="P17" s="125">
        <f>IF(ISERROR(L17/L25),0,L17/L25)</f>
        <v>0.66748170415542629</v>
      </c>
    </row>
    <row r="18" spans="1:24" ht="15.75" customHeight="1" thickBot="1" x14ac:dyDescent="0.3">
      <c r="A18" s="69" t="s">
        <v>22</v>
      </c>
      <c r="B18" s="1" t="s">
        <v>60</v>
      </c>
      <c r="C18" s="126">
        <v>2642</v>
      </c>
      <c r="D18" s="127">
        <v>91412832</v>
      </c>
      <c r="E18" s="127"/>
      <c r="F18" s="128">
        <v>16.510000000000002</v>
      </c>
      <c r="G18" s="129">
        <v>1.7399999999999999E-2</v>
      </c>
      <c r="H18" s="130"/>
      <c r="I18" s="37">
        <f>F18*C18*12</f>
        <v>523433.04000000004</v>
      </c>
      <c r="J18" s="37">
        <f>D18*G18</f>
        <v>1590583.2767999999</v>
      </c>
      <c r="K18" s="37">
        <f>E18*H18</f>
        <v>0</v>
      </c>
      <c r="L18" s="37">
        <f>I18+J18+K18</f>
        <v>2114016.3168000001</v>
      </c>
      <c r="M18" s="125">
        <f>IF(ISERROR(I18/L18),0,I18/L18)</f>
        <v>0.24760122986766911</v>
      </c>
      <c r="N18" s="125">
        <f>IF(ISERROR(J18/L18),0,J18/L18)</f>
        <v>0.75239877013233081</v>
      </c>
      <c r="O18" s="125">
        <f>IF(ISERROR(K18/L18),0,K18/L18)</f>
        <v>0</v>
      </c>
      <c r="P18" s="125">
        <f>IF(ISERROR(L18/L25),0,L18/L25)</f>
        <v>0.12676556905792652</v>
      </c>
    </row>
    <row r="19" spans="1:24" ht="15.75" customHeight="1" thickBot="1" x14ac:dyDescent="0.3">
      <c r="A19" s="69" t="s">
        <v>23</v>
      </c>
      <c r="B19" s="1" t="s">
        <v>61</v>
      </c>
      <c r="C19" s="126">
        <v>302</v>
      </c>
      <c r="D19" s="127"/>
      <c r="E19" s="127">
        <v>555651</v>
      </c>
      <c r="F19" s="128">
        <v>77.98</v>
      </c>
      <c r="G19" s="129"/>
      <c r="H19" s="130">
        <v>3.01</v>
      </c>
      <c r="I19" s="37">
        <f>F19*C19*12</f>
        <v>282599.52</v>
      </c>
      <c r="J19" s="37">
        <f>D19*G19</f>
        <v>0</v>
      </c>
      <c r="K19" s="37">
        <f>E19*H19</f>
        <v>1672509.5099999998</v>
      </c>
      <c r="L19" s="37">
        <f>I19+J19+K19</f>
        <v>1955109.0299999998</v>
      </c>
      <c r="M19" s="125">
        <f>IF(ISERROR(I19/L19),0,I19/L19)</f>
        <v>0.14454412294336344</v>
      </c>
      <c r="N19" s="125">
        <f>IF(ISERROR(J19/L19),0,J19/L19)</f>
        <v>0</v>
      </c>
      <c r="O19" s="125">
        <f>IF(ISERROR(K19/L19),0,K19/L19)</f>
        <v>0.8554558770566365</v>
      </c>
      <c r="P19" s="125">
        <f>IF(ISERROR(L19/L25),0,L19/L25)</f>
        <v>0.11723680029745394</v>
      </c>
    </row>
    <row r="20" spans="1:24" ht="15.75" customHeight="1" thickBot="1" x14ac:dyDescent="0.3">
      <c r="A20" s="69" t="s">
        <v>24</v>
      </c>
      <c r="B20" s="1" t="s">
        <v>61</v>
      </c>
      <c r="C20" s="126">
        <v>13</v>
      </c>
      <c r="D20" s="127"/>
      <c r="E20" s="127">
        <v>245808</v>
      </c>
      <c r="F20" s="128">
        <v>612.07000000000005</v>
      </c>
      <c r="G20" s="129"/>
      <c r="H20" s="130">
        <v>2.1082000000000001</v>
      </c>
      <c r="I20" s="37">
        <f>F20*C20*12</f>
        <v>95482.920000000013</v>
      </c>
      <c r="J20" s="37">
        <f>D20*G20</f>
        <v>0</v>
      </c>
      <c r="K20" s="37">
        <f>E20*H20</f>
        <v>518212.42560000002</v>
      </c>
      <c r="L20" s="37">
        <f>I20+J20+K20</f>
        <v>613695.3456</v>
      </c>
      <c r="M20" s="125">
        <f>IF(ISERROR(I20/L20),0,I20/L20)</f>
        <v>0.15558684074204263</v>
      </c>
      <c r="N20" s="125">
        <f>IF(ISERROR(J20/L20),0,J20/L20)</f>
        <v>0</v>
      </c>
      <c r="O20" s="125">
        <f>IF(ISERROR(K20/L20),0,K20/L20)</f>
        <v>0.84441315925795746</v>
      </c>
      <c r="P20" s="125">
        <f>IF(ISERROR(L20/L25),0,L20/L25)</f>
        <v>3.679982935559567E-2</v>
      </c>
    </row>
    <row r="21" spans="1:24" ht="15.75" customHeight="1" thickBot="1" x14ac:dyDescent="0.3">
      <c r="A21" s="69" t="s">
        <v>25</v>
      </c>
      <c r="B21" s="1" t="s">
        <v>61</v>
      </c>
      <c r="C21" s="126">
        <v>3</v>
      </c>
      <c r="D21" s="127"/>
      <c r="E21" s="127">
        <v>260162</v>
      </c>
      <c r="F21" s="128">
        <v>2443.75</v>
      </c>
      <c r="G21" s="129"/>
      <c r="H21" s="130">
        <v>1.4630000000000001</v>
      </c>
      <c r="I21" s="37">
        <f>F21*C21*12</f>
        <v>87975</v>
      </c>
      <c r="J21" s="37">
        <f>D21*G21</f>
        <v>0</v>
      </c>
      <c r="K21" s="37">
        <f>E21*H21</f>
        <v>380617.00599999999</v>
      </c>
      <c r="L21" s="37">
        <f>I21+J21+K21</f>
        <v>468592.00599999999</v>
      </c>
      <c r="M21" s="125">
        <f>IF(ISERROR(I21/L21),0,I21/L21)</f>
        <v>0.18774327959832929</v>
      </c>
      <c r="N21" s="125">
        <f>IF(ISERROR(J21/L21),0,J21/L21)</f>
        <v>0</v>
      </c>
      <c r="O21" s="125">
        <f>IF(ISERROR(K21/L21),0,K21/L21)</f>
        <v>0.81225672040167074</v>
      </c>
      <c r="P21" s="125">
        <f>IF(ISERROR(L21/L25),0,L21/L25)</f>
        <v>2.8098805020815305E-2</v>
      </c>
    </row>
    <row r="22" spans="1:24" ht="15.75" customHeight="1" thickBot="1" x14ac:dyDescent="0.3">
      <c r="A22" s="69" t="s">
        <v>26</v>
      </c>
      <c r="B22" s="1" t="s">
        <v>60</v>
      </c>
      <c r="C22" s="126">
        <v>178</v>
      </c>
      <c r="D22" s="127">
        <v>1096423</v>
      </c>
      <c r="E22" s="127"/>
      <c r="F22" s="128">
        <v>7.86</v>
      </c>
      <c r="G22" s="129">
        <v>1.66E-2</v>
      </c>
      <c r="H22" s="130"/>
      <c r="I22" s="37">
        <f>F22*C22*12</f>
        <v>16788.960000000003</v>
      </c>
      <c r="J22" s="37">
        <f>D22*G22</f>
        <v>18200.621800000001</v>
      </c>
      <c r="K22" s="37">
        <f>E22*H22</f>
        <v>0</v>
      </c>
      <c r="L22" s="37">
        <f>I22+J22+K22</f>
        <v>34989.5818</v>
      </c>
      <c r="M22" s="125">
        <f>IF(ISERROR(I22/L22),0,I22/L22)</f>
        <v>0.47982739822286197</v>
      </c>
      <c r="N22" s="125">
        <f>IF(ISERROR(J22/L22),0,J22/L22)</f>
        <v>0.5201726017771382</v>
      </c>
      <c r="O22" s="125">
        <f>IF(ISERROR(K22/L22),0,K22/L22)</f>
        <v>0</v>
      </c>
      <c r="P22" s="125">
        <f>IF(ISERROR(L22/L25),0,L22/L25)</f>
        <v>2.0981267801612217E-3</v>
      </c>
    </row>
    <row r="23" spans="1:24" ht="15.75" customHeight="1" thickBot="1" x14ac:dyDescent="0.3">
      <c r="A23" s="69" t="s">
        <v>27</v>
      </c>
      <c r="B23" s="1" t="s">
        <v>61</v>
      </c>
      <c r="C23" s="126">
        <v>242</v>
      </c>
      <c r="D23" s="127"/>
      <c r="E23" s="127">
        <v>404</v>
      </c>
      <c r="F23" s="128">
        <v>3.44</v>
      </c>
      <c r="G23" s="129"/>
      <c r="H23" s="130">
        <v>26.1496</v>
      </c>
      <c r="I23" s="37">
        <f>F23*C23*12</f>
        <v>9989.76</v>
      </c>
      <c r="J23" s="37">
        <f>D23*G23</f>
        <v>0</v>
      </c>
      <c r="K23" s="37">
        <f>E23*H23</f>
        <v>10564.438399999999</v>
      </c>
      <c r="L23" s="37">
        <f>I23+J23+K23</f>
        <v>20554.198400000001</v>
      </c>
      <c r="M23" s="125">
        <f>IF(ISERROR(I23/L23),0,I23/L23)</f>
        <v>0.48602041323100198</v>
      </c>
      <c r="N23" s="125">
        <f>IF(ISERROR(J23/L23),0,J23/L23)</f>
        <v>0</v>
      </c>
      <c r="O23" s="125">
        <f>IF(ISERROR(K23/L23),0,K23/L23)</f>
        <v>0.51397958676899791</v>
      </c>
      <c r="P23" s="125">
        <f>IF(ISERROR(L23/L25),0,L23/L25)</f>
        <v>1.2325187066907709E-3</v>
      </c>
    </row>
    <row r="24" spans="1:24" ht="15.75" customHeight="1" thickBot="1" x14ac:dyDescent="0.3">
      <c r="A24" s="86" t="s">
        <v>28</v>
      </c>
      <c r="B24" s="131" t="s">
        <v>61</v>
      </c>
      <c r="C24" s="132">
        <v>3234</v>
      </c>
      <c r="D24" s="133"/>
      <c r="E24" s="133">
        <v>23291</v>
      </c>
      <c r="F24" s="134">
        <v>2.4</v>
      </c>
      <c r="G24" s="135"/>
      <c r="H24" s="136">
        <v>10.5265</v>
      </c>
      <c r="I24" s="41">
        <f>F24*C24*12</f>
        <v>93139.199999999997</v>
      </c>
      <c r="J24" s="41">
        <f>D24*G24</f>
        <v>0</v>
      </c>
      <c r="K24" s="41">
        <f>E24*H24</f>
        <v>245172.7115</v>
      </c>
      <c r="L24" s="41">
        <f>I24+J24+K24</f>
        <v>338311.91149999999</v>
      </c>
      <c r="M24" s="137">
        <f>IF(ISERROR(I24/L24),0,I24/L24)</f>
        <v>0.27530570705311985</v>
      </c>
      <c r="N24" s="137">
        <f>IF(ISERROR(J24/L24),0,J24/L24)</f>
        <v>0</v>
      </c>
      <c r="O24" s="137">
        <f>IF(ISERROR(K24/L24),0,K24/L24)</f>
        <v>0.72469429294688026</v>
      </c>
      <c r="P24" s="137">
        <f>IF(ISERROR(L24/L25),0,L24/L25)</f>
        <v>2.0286646625930327E-2</v>
      </c>
      <c r="Q24" s="138"/>
      <c r="R24" s="138"/>
      <c r="S24" s="138"/>
      <c r="T24" s="138"/>
      <c r="U24" s="138"/>
      <c r="V24" s="138"/>
      <c r="W24" s="138"/>
      <c r="X24" s="138"/>
    </row>
    <row r="25" spans="1:24" x14ac:dyDescent="0.25">
      <c r="A25" s="104" t="s">
        <v>62</v>
      </c>
      <c r="C25" s="139">
        <f>SUM(C17:C24)</f>
        <v>41115</v>
      </c>
      <c r="D25" s="139">
        <f>SUM(D17:D24)</f>
        <v>404013762</v>
      </c>
      <c r="E25" s="139">
        <f>SUM(E17:E24)</f>
        <v>1085316</v>
      </c>
      <c r="I25" s="37">
        <f>SUM(I17:I24)</f>
        <v>8814171.7200000007</v>
      </c>
      <c r="J25" s="37">
        <f>SUM(J17:J24)</f>
        <v>5035333.4755999995</v>
      </c>
      <c r="K25" s="37">
        <f>SUM(K17:K24)</f>
        <v>2827076.0915000001</v>
      </c>
      <c r="L25" s="37">
        <f>SUM(L17:L24)</f>
        <v>16676581.287099998</v>
      </c>
      <c r="P25" s="38">
        <f>SUM(P17:P24)</f>
        <v>1</v>
      </c>
    </row>
    <row r="28" spans="1:24" ht="39" thickBot="1" x14ac:dyDescent="0.3">
      <c r="A28" s="140" t="s">
        <v>13</v>
      </c>
      <c r="B28" s="36"/>
      <c r="C28" s="36" t="s">
        <v>101</v>
      </c>
      <c r="D28" s="36" t="s">
        <v>102</v>
      </c>
      <c r="E28" s="36" t="s">
        <v>103</v>
      </c>
      <c r="F28" s="36" t="s">
        <v>104</v>
      </c>
      <c r="G28" s="36"/>
      <c r="H28" s="36"/>
      <c r="I28" s="36"/>
    </row>
    <row r="29" spans="1:24" ht="15.75" customHeight="1" x14ac:dyDescent="0.25">
      <c r="A29" s="69" t="s">
        <v>21</v>
      </c>
      <c r="B29" s="1" t="s">
        <v>60</v>
      </c>
      <c r="C29" s="141">
        <v>298391164</v>
      </c>
      <c r="D29" s="141">
        <v>0</v>
      </c>
      <c r="E29" s="37">
        <f>P17*E37</f>
        <v>-6.6748170415542631E-3</v>
      </c>
      <c r="F29" s="142">
        <v>0</v>
      </c>
      <c r="G29" s="1" t="s">
        <v>105</v>
      </c>
      <c r="H29" s="143" t="s">
        <v>106</v>
      </c>
      <c r="I29" s="144"/>
      <c r="J29" s="144"/>
      <c r="K29" s="145"/>
    </row>
    <row r="30" spans="1:24" ht="15.75" customHeight="1" x14ac:dyDescent="0.25">
      <c r="A30" s="69" t="s">
        <v>22</v>
      </c>
      <c r="B30" s="1" t="s">
        <v>60</v>
      </c>
      <c r="C30" s="141">
        <v>89184096</v>
      </c>
      <c r="D30" s="141">
        <v>0</v>
      </c>
      <c r="E30" s="37">
        <f>P18*E37</f>
        <v>-1.2676556905792651E-3</v>
      </c>
      <c r="F30" s="146">
        <v>0</v>
      </c>
      <c r="G30" s="1" t="s">
        <v>60</v>
      </c>
      <c r="H30" s="147"/>
      <c r="I30" s="148"/>
      <c r="J30" s="148"/>
      <c r="K30" s="149"/>
    </row>
    <row r="31" spans="1:24" ht="15.75" customHeight="1" x14ac:dyDescent="0.25">
      <c r="A31" s="69" t="s">
        <v>23</v>
      </c>
      <c r="B31" s="1" t="s">
        <v>61</v>
      </c>
      <c r="C31" s="141">
        <v>205983767</v>
      </c>
      <c r="D31" s="141">
        <v>551718</v>
      </c>
      <c r="E31" s="37">
        <f>P19*E37</f>
        <v>-1.1723680029745395E-3</v>
      </c>
      <c r="F31" s="146">
        <v>0</v>
      </c>
      <c r="G31" s="1" t="s">
        <v>61</v>
      </c>
      <c r="H31" s="147"/>
      <c r="I31" s="148"/>
      <c r="J31" s="148"/>
      <c r="K31" s="149"/>
    </row>
    <row r="32" spans="1:24" ht="15.75" customHeight="1" x14ac:dyDescent="0.25">
      <c r="A32" s="69" t="s">
        <v>24</v>
      </c>
      <c r="B32" s="1" t="s">
        <v>61</v>
      </c>
      <c r="C32" s="141">
        <v>110459354</v>
      </c>
      <c r="D32" s="141">
        <v>256545</v>
      </c>
      <c r="E32" s="37">
        <f>P20*E37</f>
        <v>-3.6799829355595669E-4</v>
      </c>
      <c r="F32" s="146">
        <v>0</v>
      </c>
      <c r="G32" s="1" t="s">
        <v>61</v>
      </c>
      <c r="H32" s="147"/>
      <c r="I32" s="148"/>
      <c r="J32" s="148"/>
      <c r="K32" s="149"/>
    </row>
    <row r="33" spans="1:11" ht="15.75" customHeight="1" x14ac:dyDescent="0.25">
      <c r="A33" s="69" t="s">
        <v>25</v>
      </c>
      <c r="B33" s="1" t="s">
        <v>61</v>
      </c>
      <c r="C33" s="141">
        <v>135321174</v>
      </c>
      <c r="D33" s="141">
        <v>253386</v>
      </c>
      <c r="E33" s="37">
        <f>P21*E37</f>
        <v>-2.8098805020815304E-4</v>
      </c>
      <c r="F33" s="146">
        <v>0</v>
      </c>
      <c r="G33" s="1" t="s">
        <v>61</v>
      </c>
      <c r="H33" s="147"/>
      <c r="I33" s="148"/>
      <c r="J33" s="148"/>
      <c r="K33" s="149"/>
    </row>
    <row r="34" spans="1:11" ht="15.75" customHeight="1" x14ac:dyDescent="0.25">
      <c r="A34" s="69" t="s">
        <v>26</v>
      </c>
      <c r="B34" s="1" t="s">
        <v>60</v>
      </c>
      <c r="C34" s="141">
        <v>1188593</v>
      </c>
      <c r="D34" s="141">
        <v>0</v>
      </c>
      <c r="E34" s="37">
        <f>P22*E37</f>
        <v>-2.0981267801612217E-5</v>
      </c>
      <c r="F34" s="146">
        <v>0</v>
      </c>
      <c r="G34" s="1" t="s">
        <v>60</v>
      </c>
      <c r="H34" s="147"/>
      <c r="I34" s="148"/>
      <c r="J34" s="148"/>
      <c r="K34" s="149"/>
    </row>
    <row r="35" spans="1:11" ht="15.75" customHeight="1" x14ac:dyDescent="0.25">
      <c r="A35" s="69" t="s">
        <v>27</v>
      </c>
      <c r="B35" s="1" t="s">
        <v>61</v>
      </c>
      <c r="C35" s="141">
        <v>150941</v>
      </c>
      <c r="D35" s="141">
        <v>419</v>
      </c>
      <c r="E35" s="37">
        <f>P23*E37</f>
        <v>-1.232518706690771E-5</v>
      </c>
      <c r="F35" s="146">
        <v>0</v>
      </c>
      <c r="G35" s="1" t="s">
        <v>61</v>
      </c>
      <c r="H35" s="147"/>
      <c r="I35" s="148"/>
      <c r="J35" s="148"/>
      <c r="K35" s="149"/>
    </row>
    <row r="36" spans="1:11" ht="15.75" customHeight="1" thickBot="1" x14ac:dyDescent="0.3">
      <c r="A36" s="86" t="s">
        <v>28</v>
      </c>
      <c r="B36" s="131" t="s">
        <v>61</v>
      </c>
      <c r="C36" s="150">
        <v>7617578</v>
      </c>
      <c r="D36" s="150">
        <v>21372</v>
      </c>
      <c r="E36" s="41">
        <f>P24*E37</f>
        <v>-2.0286646625930328E-4</v>
      </c>
      <c r="F36" s="151">
        <v>0</v>
      </c>
      <c r="G36" s="131" t="s">
        <v>61</v>
      </c>
      <c r="H36" s="152"/>
      <c r="I36" s="153"/>
      <c r="J36" s="153"/>
      <c r="K36" s="154"/>
    </row>
    <row r="37" spans="1:11" x14ac:dyDescent="0.25">
      <c r="A37" s="104" t="s">
        <v>62</v>
      </c>
      <c r="C37" s="141">
        <f>SUM(C29:C36)</f>
        <v>848296667</v>
      </c>
      <c r="D37" s="141">
        <f>SUM(D29:D36)</f>
        <v>1083440</v>
      </c>
      <c r="E37" s="155">
        <f>ROUND('[1]8. STS - Tax Change'!N46,2)</f>
        <v>-0.01</v>
      </c>
      <c r="F37" s="146"/>
    </row>
    <row r="41" spans="1:11" ht="15.75" x14ac:dyDescent="0.25">
      <c r="A41" s="112"/>
    </row>
  </sheetData>
  <mergeCells count="1">
    <mergeCell ref="H29:K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COS_RES_CUSTOMERS</vt:lpstr>
      <vt:lpstr>COS_RES_KWH</vt:lpstr>
      <vt:lpstr>YRS_LEFT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Dan Gapic</cp:lastModifiedBy>
  <dcterms:created xsi:type="dcterms:W3CDTF">2017-02-06T18:26:06Z</dcterms:created>
  <dcterms:modified xsi:type="dcterms:W3CDTF">2017-02-06T18:48:08Z</dcterms:modified>
</cp:coreProperties>
</file>