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Geoffrey\2017 NOW\2017 COST OF SERVICE APPLICATION\Supplemental IR\Supplemental IR Write Ups\"/>
    </mc:Choice>
  </mc:AlternateContent>
  <bookViews>
    <workbookView xWindow="0" yWindow="0" windowWidth="28800" windowHeight="1242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4" l="1"/>
  <c r="I10" i="4" l="1"/>
  <c r="I61" i="4"/>
  <c r="I18" i="4" l="1"/>
  <c r="H18" i="4"/>
  <c r="I14" i="4" l="1"/>
  <c r="H28" i="4" l="1"/>
  <c r="I28" i="4"/>
  <c r="J28" i="4"/>
  <c r="K28" i="4"/>
  <c r="L28" i="4"/>
  <c r="M28" i="4"/>
  <c r="C3" i="4" l="1"/>
  <c r="E3" i="1" l="1"/>
  <c r="G88" i="1" s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H165" i="1" s="1"/>
  <c r="G157" i="1"/>
  <c r="G153" i="1"/>
  <c r="G144" i="1"/>
  <c r="G134" i="1"/>
  <c r="G128" i="1"/>
  <c r="G117" i="1"/>
  <c r="G113" i="1"/>
  <c r="G107" i="1"/>
  <c r="G96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H117" i="1" s="1"/>
  <c r="G110" i="1"/>
  <c r="G89" i="1"/>
  <c r="G79" i="1"/>
  <c r="G71" i="1"/>
  <c r="G63" i="1"/>
  <c r="G55" i="1"/>
  <c r="G47" i="1"/>
  <c r="M32" i="4"/>
  <c r="C3" i="5" l="1"/>
  <c r="M115" i="4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I65" i="4"/>
  <c r="J65" i="4"/>
  <c r="K65" i="4"/>
  <c r="L65" i="4"/>
  <c r="H65" i="4"/>
  <c r="I79" i="4"/>
  <c r="J79" i="4"/>
  <c r="K79" i="4"/>
  <c r="L79" i="4"/>
  <c r="H79" i="4"/>
  <c r="I87" i="4"/>
  <c r="J87" i="4"/>
  <c r="K87" i="4"/>
  <c r="L87" i="4"/>
  <c r="H87" i="4"/>
  <c r="H92" i="4"/>
  <c r="I92" i="4"/>
  <c r="J92" i="4"/>
  <c r="K92" i="4"/>
  <c r="L92" i="4"/>
  <c r="I110" i="4"/>
  <c r="J110" i="4"/>
  <c r="K110" i="4"/>
  <c r="L110" i="4"/>
  <c r="H110" i="4"/>
  <c r="I113" i="4"/>
  <c r="J113" i="4"/>
  <c r="K113" i="4"/>
  <c r="L113" i="4"/>
  <c r="H113" i="4"/>
  <c r="I115" i="4"/>
  <c r="J115" i="4"/>
  <c r="K115" i="4"/>
  <c r="L115" i="4"/>
  <c r="H115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6" i="4"/>
  <c r="M30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6" i="4"/>
  <c r="J30" i="4" s="1"/>
  <c r="I116" i="4"/>
  <c r="I30" i="4" s="1"/>
  <c r="H116" i="4"/>
  <c r="K116" i="4"/>
  <c r="K30" i="4" s="1"/>
  <c r="L116" i="4"/>
  <c r="L30" i="4" s="1"/>
  <c r="G18" i="4" l="1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I121" i="4"/>
  <c r="J121" i="4"/>
  <c r="K121" i="4"/>
  <c r="L121" i="4"/>
  <c r="G23" i="4"/>
  <c r="G22" i="4"/>
  <c r="H22" i="4" s="1"/>
  <c r="I22" i="4" s="1"/>
  <c r="G21" i="4"/>
  <c r="H21" i="4" s="1"/>
  <c r="I21" i="4" s="1"/>
  <c r="G122" i="4"/>
  <c r="G123" i="4"/>
  <c r="G38" i="4" s="1"/>
  <c r="G46" i="4"/>
  <c r="G47" i="4"/>
  <c r="G48" i="4"/>
  <c r="G119" i="4" s="1"/>
  <c r="G49" i="4"/>
  <c r="G120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6" i="4" s="1"/>
  <c r="G45" i="4"/>
  <c r="G15" i="4"/>
  <c r="G16" i="4"/>
  <c r="G17" i="4"/>
  <c r="G14" i="4"/>
  <c r="G11" i="4"/>
  <c r="G10" i="4"/>
  <c r="L222" i="1"/>
  <c r="F10" i="5"/>
  <c r="H135" i="1" l="1"/>
  <c r="I135" i="1" s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30" i="4"/>
  <c r="H30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8" i="4" l="1"/>
  <c r="H136" i="1"/>
  <c r="M209" i="1"/>
  <c r="M213" i="1" s="1"/>
  <c r="M221" i="1"/>
  <c r="M207" i="1"/>
  <c r="M211" i="1" s="1"/>
  <c r="J135" i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I97" i="1"/>
  <c r="H209" i="1"/>
  <c r="H213" i="1" s="1"/>
  <c r="H130" i="1"/>
  <c r="H113" i="1"/>
  <c r="H129" i="1"/>
  <c r="J112" i="1" l="1"/>
  <c r="K112" i="1" s="1"/>
  <c r="L112" i="1" s="1"/>
  <c r="I116" i="1"/>
  <c r="M218" i="1"/>
  <c r="M136" i="1"/>
  <c r="M112" i="1"/>
  <c r="M116" i="1" s="1"/>
  <c r="K145" i="1"/>
  <c r="I113" i="1"/>
  <c r="J96" i="1"/>
  <c r="J98" i="1"/>
  <c r="J110" i="1"/>
  <c r="J113" i="1" s="1"/>
  <c r="J92" i="1"/>
  <c r="J114" i="1" s="1"/>
  <c r="J97" i="1"/>
  <c r="J99" i="1"/>
  <c r="J142" i="1"/>
  <c r="J93" i="1"/>
  <c r="J115" i="1" s="1"/>
  <c r="G32" i="4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s="1"/>
  <c r="I117" i="1" s="1"/>
  <c r="I118" i="1" l="1"/>
  <c r="I119" i="1" s="1"/>
  <c r="I139" i="1"/>
  <c r="H119" i="1"/>
  <c r="M113" i="1"/>
  <c r="M139" i="1" s="1"/>
  <c r="H32" i="4"/>
  <c r="L145" i="1"/>
  <c r="K97" i="1"/>
  <c r="K96" i="1"/>
  <c r="K99" i="1"/>
  <c r="K142" i="1"/>
  <c r="K92" i="1"/>
  <c r="K114" i="1" s="1"/>
  <c r="K98" i="1"/>
  <c r="K93" i="1"/>
  <c r="K115" i="1" s="1"/>
  <c r="K110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J117" i="1"/>
  <c r="I32" i="4"/>
  <c r="I89" i="1" s="1"/>
  <c r="I107" i="1" s="1"/>
  <c r="I121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256" i="1" l="1"/>
  <c r="J32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G10" i="5" l="1"/>
  <c r="K32" i="4"/>
  <c r="K89" i="1" s="1"/>
  <c r="K107" i="1" s="1"/>
  <c r="L32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229" i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61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H22" i="5" s="1"/>
  <c r="K245" i="1"/>
  <c r="K246" i="1" s="1"/>
  <c r="K248" i="1" s="1"/>
  <c r="K257" i="1" s="1"/>
  <c r="I14" i="5"/>
  <c r="I16" i="5" s="1"/>
  <c r="I10" i="5"/>
  <c r="I18" i="5" l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<sst xmlns="http://schemas.openxmlformats.org/spreadsheetml/2006/main" count="521" uniqueCount="279">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</sst>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5"/>
  <sheetViews>
    <sheetView topLeftCell="A85" zoomScaleNormal="100" workbookViewId="0">
      <selection activeCell="F7" sqref="F7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3" t="s">
        <v>191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25">
      <c r="C3" s="224" t="str">
        <f>IF(F5="Click to Choose an LDC","",F5)</f>
        <v>Northern Ontario Wires Inc.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250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s="92" customFormat="1" x14ac:dyDescent="0.2">
      <c r="B6" s="145"/>
      <c r="E6" s="78"/>
      <c r="F6" s="26"/>
      <c r="G6" s="221"/>
      <c r="H6" s="221" t="s">
        <v>278</v>
      </c>
      <c r="I6" s="221"/>
      <c r="J6" s="38"/>
      <c r="K6" s="38"/>
      <c r="L6" s="38"/>
      <c r="M6" s="38"/>
      <c r="N6" s="78"/>
      <c r="O6" s="94"/>
    </row>
    <row r="7" spans="2:15" ht="36" customHeight="1" x14ac:dyDescent="0.35">
      <c r="B7" s="6" t="s">
        <v>180</v>
      </c>
      <c r="C7" s="93"/>
      <c r="D7" s="26"/>
      <c r="E7" s="26"/>
      <c r="F7" s="26"/>
      <c r="G7" s="14">
        <v>2015</v>
      </c>
      <c r="H7" s="14">
        <v>2016</v>
      </c>
      <c r="I7" s="14">
        <v>2017</v>
      </c>
      <c r="J7" s="14">
        <v>2018</v>
      </c>
      <c r="K7" s="14">
        <v>2019</v>
      </c>
      <c r="L7" s="14">
        <v>2020</v>
      </c>
      <c r="M7" s="14">
        <v>2021</v>
      </c>
      <c r="N7" s="151"/>
      <c r="O7" s="2"/>
    </row>
    <row r="8" spans="2:15" x14ac:dyDescent="0.2">
      <c r="C8" s="26"/>
      <c r="D8" s="26"/>
      <c r="E8" s="26"/>
      <c r="G8" s="26"/>
      <c r="H8" s="26"/>
      <c r="I8" s="26"/>
      <c r="J8" s="26"/>
      <c r="K8" s="26"/>
      <c r="L8" s="26"/>
      <c r="M8" s="26"/>
      <c r="N8" s="78"/>
    </row>
    <row r="9" spans="2:15" x14ac:dyDescent="0.2">
      <c r="C9" s="76" t="s">
        <v>85</v>
      </c>
      <c r="D9" s="76"/>
      <c r="E9" s="14"/>
      <c r="F9" s="26"/>
      <c r="H9" s="226"/>
      <c r="I9" s="226"/>
      <c r="J9" s="226"/>
      <c r="K9" s="226"/>
      <c r="L9" s="226"/>
      <c r="M9" s="226"/>
      <c r="N9" s="78"/>
    </row>
    <row r="10" spans="2:15" x14ac:dyDescent="0.2">
      <c r="B10" s="2">
        <v>1</v>
      </c>
      <c r="C10" s="77"/>
      <c r="D10" s="78" t="s">
        <v>86</v>
      </c>
      <c r="F10" s="26"/>
      <c r="G10" s="86">
        <f>'Benchmarking Calculations'!G92</f>
        <v>424755</v>
      </c>
      <c r="H10" s="125">
        <v>962243</v>
      </c>
      <c r="I10" s="125">
        <f>827500</f>
        <v>827500</v>
      </c>
      <c r="J10" s="125"/>
      <c r="K10" s="125"/>
      <c r="L10" s="125"/>
      <c r="M10" s="125"/>
      <c r="N10" s="78" t="s">
        <v>172</v>
      </c>
      <c r="O10" s="88"/>
    </row>
    <row r="11" spans="2:15" x14ac:dyDescent="0.2">
      <c r="B11" s="2">
        <v>2</v>
      </c>
      <c r="C11" s="77"/>
      <c r="D11" s="78" t="s">
        <v>87</v>
      </c>
      <c r="F11" s="26"/>
      <c r="G11" s="86">
        <f>'Benchmarking Calculations'!G93</f>
        <v>0</v>
      </c>
      <c r="H11" s="125"/>
      <c r="I11" s="125"/>
      <c r="J11" s="125"/>
      <c r="K11" s="125"/>
      <c r="L11" s="125"/>
      <c r="M11" s="125"/>
      <c r="N11" s="78" t="s">
        <v>172</v>
      </c>
      <c r="O11" s="88"/>
    </row>
    <row r="12" spans="2:15" x14ac:dyDescent="0.2">
      <c r="C12" s="77"/>
      <c r="D12" s="77"/>
      <c r="E12" s="14"/>
      <c r="F12" s="26"/>
      <c r="G12" s="86"/>
      <c r="H12" s="26"/>
      <c r="I12" s="26"/>
      <c r="J12" s="26"/>
      <c r="K12" s="26"/>
      <c r="L12" s="26"/>
      <c r="M12" s="26"/>
      <c r="N12" s="78"/>
      <c r="O12" s="88"/>
    </row>
    <row r="13" spans="2:15" x14ac:dyDescent="0.2">
      <c r="C13" s="76" t="s">
        <v>88</v>
      </c>
      <c r="D13" s="76"/>
      <c r="E13" s="14"/>
      <c r="F13" s="26"/>
      <c r="G13" s="86"/>
      <c r="H13" s="185"/>
      <c r="I13" s="185"/>
      <c r="J13" s="185"/>
      <c r="K13" s="185"/>
      <c r="L13" s="185"/>
      <c r="M13" s="185"/>
      <c r="N13" s="78"/>
      <c r="O13" s="88"/>
    </row>
    <row r="14" spans="2:15" x14ac:dyDescent="0.2">
      <c r="B14" s="2">
        <v>3</v>
      </c>
      <c r="C14" s="77"/>
      <c r="D14" s="37" t="s">
        <v>89</v>
      </c>
      <c r="F14" s="26"/>
      <c r="G14" s="86">
        <f>'Benchmarking Calculations'!G96</f>
        <v>6075</v>
      </c>
      <c r="H14" s="125">
        <v>6074</v>
      </c>
      <c r="I14" s="125">
        <f>5216+784+71</f>
        <v>6071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4</v>
      </c>
      <c r="C15" s="77"/>
      <c r="D15" s="37" t="s">
        <v>90</v>
      </c>
      <c r="F15" s="26"/>
      <c r="G15" s="86">
        <f>'Benchmarking Calculations'!G97</f>
        <v>120944395</v>
      </c>
      <c r="H15" s="125">
        <v>124919501</v>
      </c>
      <c r="I15" s="125">
        <v>123307945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5</v>
      </c>
      <c r="C16" s="26"/>
      <c r="D16" s="37" t="s">
        <v>91</v>
      </c>
      <c r="F16" s="26"/>
      <c r="G16" s="86">
        <f>'Benchmarking Calculations'!G98</f>
        <v>23679</v>
      </c>
      <c r="H16" s="125">
        <v>23252</v>
      </c>
      <c r="I16" s="125">
        <v>23250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6</v>
      </c>
      <c r="C17" s="26"/>
      <c r="D17" s="78" t="s">
        <v>192</v>
      </c>
      <c r="F17" s="26"/>
      <c r="G17" s="86">
        <f>'Benchmarking Calculations'!G99</f>
        <v>370</v>
      </c>
      <c r="H17" s="125">
        <v>370</v>
      </c>
      <c r="I17" s="125">
        <v>370</v>
      </c>
      <c r="J17" s="125"/>
      <c r="K17" s="125"/>
      <c r="L17" s="125"/>
      <c r="M17" s="125"/>
      <c r="N17" s="78" t="s">
        <v>172</v>
      </c>
      <c r="O17" s="88"/>
    </row>
    <row r="18" spans="2:15" x14ac:dyDescent="0.2">
      <c r="B18" s="2">
        <v>7</v>
      </c>
      <c r="C18" s="38"/>
      <c r="D18" s="77" t="s">
        <v>121</v>
      </c>
      <c r="F18" s="78"/>
      <c r="G18" s="90">
        <f>'Benchmarking Calculations'!G145</f>
        <v>-2.0477265398258625E-2</v>
      </c>
      <c r="H18" s="119">
        <f>+(H14/6135)-1</f>
        <v>-9.9429502852486085E-3</v>
      </c>
      <c r="I18" s="119">
        <f>+(I14/6112)-1</f>
        <v>-6.7081151832460995E-3</v>
      </c>
      <c r="J18" s="119"/>
      <c r="K18" s="119"/>
      <c r="L18" s="119"/>
      <c r="M18" s="119"/>
      <c r="N18" s="78" t="s">
        <v>172</v>
      </c>
      <c r="O18" s="88"/>
    </row>
    <row r="19" spans="2:15" x14ac:dyDescent="0.2">
      <c r="C19" s="38"/>
      <c r="E19" s="77"/>
      <c r="F19" s="78"/>
      <c r="G19" s="51"/>
      <c r="H19" s="82"/>
      <c r="I19" s="58"/>
      <c r="J19" s="26"/>
      <c r="K19" s="26"/>
      <c r="L19" s="26"/>
      <c r="M19" s="26"/>
    </row>
    <row r="20" spans="2:15" x14ac:dyDescent="0.2">
      <c r="C20" s="76" t="s">
        <v>165</v>
      </c>
      <c r="E20" s="77"/>
      <c r="F20" s="78"/>
      <c r="G20" s="51"/>
      <c r="H20" s="226"/>
      <c r="I20" s="226"/>
      <c r="J20" s="226"/>
      <c r="K20" s="226"/>
      <c r="L20" s="226"/>
      <c r="M20" s="226"/>
    </row>
    <row r="21" spans="2:15" x14ac:dyDescent="0.2">
      <c r="B21" s="2">
        <v>8</v>
      </c>
      <c r="C21" s="38"/>
      <c r="D21" s="77" t="s">
        <v>166</v>
      </c>
      <c r="F21" s="78"/>
      <c r="G21" s="90">
        <f>LN('Benchmarking Calculations'!G135/'Benchmarking Calculations'!F135)</f>
        <v>2.5639327969446551E-2</v>
      </c>
      <c r="H21" s="124">
        <f>+G21</f>
        <v>2.5639327969446551E-2</v>
      </c>
      <c r="I21" s="124">
        <f>+H21</f>
        <v>2.5639327969446551E-2</v>
      </c>
      <c r="J21" s="124"/>
      <c r="K21" s="124"/>
      <c r="L21" s="124"/>
      <c r="M21" s="124"/>
      <c r="N21" s="78" t="s">
        <v>188</v>
      </c>
    </row>
    <row r="22" spans="2:15" ht="14.25" customHeight="1" x14ac:dyDescent="0.2">
      <c r="B22" s="2">
        <v>9</v>
      </c>
      <c r="C22" s="38"/>
      <c r="D22" s="77" t="s">
        <v>167</v>
      </c>
      <c r="F22" s="78"/>
      <c r="G22" s="90">
        <f>LN('Benchmarking Calculations'!G134/'Benchmarking Calculations'!F134)</f>
        <v>1.574491305654421E-2</v>
      </c>
      <c r="H22" s="124">
        <f>G22</f>
        <v>1.574491305654421E-2</v>
      </c>
      <c r="I22" s="124">
        <f>+H22</f>
        <v>1.574491305654421E-2</v>
      </c>
      <c r="J22" s="124"/>
      <c r="K22" s="124"/>
      <c r="L22" s="124"/>
      <c r="M22" s="124"/>
      <c r="N22" s="78" t="s">
        <v>188</v>
      </c>
    </row>
    <row r="23" spans="2:15" x14ac:dyDescent="0.2">
      <c r="B23" s="2">
        <v>10</v>
      </c>
      <c r="C23" s="38"/>
      <c r="D23" s="26" t="s">
        <v>173</v>
      </c>
      <c r="F23" s="78"/>
      <c r="G23" s="90">
        <f>'Benchmarking Calculations'!G110</f>
        <v>6.5054666666666677E-2</v>
      </c>
      <c r="H23" s="124">
        <v>6.0299999999999999E-2</v>
      </c>
      <c r="I23" s="124">
        <v>5.67E-2</v>
      </c>
      <c r="J23" s="124"/>
      <c r="K23" s="124"/>
      <c r="L23" s="124"/>
      <c r="M23" s="124"/>
      <c r="N23" s="78" t="s">
        <v>172</v>
      </c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38"/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s="92" customFormat="1" x14ac:dyDescent="0.2">
      <c r="B26" s="2"/>
      <c r="C26" s="79" t="s">
        <v>193</v>
      </c>
      <c r="D26" s="26"/>
      <c r="F26" s="78"/>
      <c r="G26" s="90"/>
      <c r="H26" s="95"/>
      <c r="I26" s="95"/>
      <c r="J26" s="95"/>
      <c r="K26" s="95"/>
      <c r="L26" s="95"/>
      <c r="M26" s="95"/>
      <c r="N26" s="78"/>
    </row>
    <row r="27" spans="2:15" ht="13.5" thickBot="1" x14ac:dyDescent="0.25">
      <c r="C27" s="38"/>
      <c r="D27" s="77"/>
      <c r="E27" s="14"/>
      <c r="F27" s="78"/>
      <c r="G27" s="51"/>
      <c r="H27" s="82"/>
      <c r="I27" s="58"/>
      <c r="J27" s="26"/>
      <c r="K27" s="26"/>
      <c r="L27" s="26"/>
      <c r="M27" s="26"/>
      <c r="N27" s="78"/>
    </row>
    <row r="28" spans="2:15" ht="13.5" thickBot="1" x14ac:dyDescent="0.25">
      <c r="E28" s="144" t="s">
        <v>170</v>
      </c>
      <c r="F28" s="76" t="s">
        <v>198</v>
      </c>
      <c r="G28" s="51">
        <f>G36-G37+G38</f>
        <v>2293522.0105000003</v>
      </c>
      <c r="H28" s="51">
        <f t="shared" ref="H28:M28" si="0">H36-H37+H38</f>
        <v>0</v>
      </c>
      <c r="I28" s="51">
        <f t="shared" si="0"/>
        <v>0</v>
      </c>
      <c r="J28" s="51">
        <f t="shared" si="0"/>
        <v>0</v>
      </c>
      <c r="K28" s="51">
        <f t="shared" si="0"/>
        <v>0</v>
      </c>
      <c r="L28" s="51">
        <f t="shared" si="0"/>
        <v>0</v>
      </c>
      <c r="M28" s="51">
        <f t="shared" si="0"/>
        <v>0</v>
      </c>
      <c r="N28" s="59" t="s">
        <v>29</v>
      </c>
    </row>
    <row r="29" spans="2:15" ht="13.5" thickBot="1" x14ac:dyDescent="0.25">
      <c r="B29" s="12" t="s">
        <v>190</v>
      </c>
      <c r="E29" s="14"/>
      <c r="F29" s="76"/>
      <c r="G29" s="51"/>
      <c r="H29" s="51"/>
      <c r="I29" s="51"/>
      <c r="J29" s="51"/>
      <c r="K29" s="51"/>
      <c r="L29" s="51"/>
      <c r="M29" s="51"/>
      <c r="N29" s="78"/>
    </row>
    <row r="30" spans="2:15" ht="13.5" thickBot="1" x14ac:dyDescent="0.25">
      <c r="E30" s="144" t="s">
        <v>169</v>
      </c>
      <c r="F30" s="76" t="s">
        <v>202</v>
      </c>
      <c r="G30" s="51">
        <f t="shared" ref="G30:M30" si="1">G116-G122+G123</f>
        <v>2293522.0105000003</v>
      </c>
      <c r="H30" s="51">
        <f t="shared" si="1"/>
        <v>2540569.81</v>
      </c>
      <c r="I30" s="51">
        <f t="shared" si="1"/>
        <v>2869730</v>
      </c>
      <c r="J30" s="51">
        <f t="shared" si="1"/>
        <v>0</v>
      </c>
      <c r="K30" s="51">
        <f t="shared" si="1"/>
        <v>0</v>
      </c>
      <c r="L30" s="51">
        <f t="shared" si="1"/>
        <v>0</v>
      </c>
      <c r="M30" s="51">
        <f t="shared" si="1"/>
        <v>0</v>
      </c>
      <c r="N30" s="59" t="s">
        <v>29</v>
      </c>
    </row>
    <row r="31" spans="2:15" x14ac:dyDescent="0.2">
      <c r="C31" s="71"/>
      <c r="D31" s="77"/>
      <c r="E31" s="77"/>
      <c r="F31" s="78"/>
      <c r="G31" s="51"/>
      <c r="H31" s="82"/>
      <c r="I31" s="58"/>
      <c r="J31" s="26"/>
      <c r="K31" s="26"/>
      <c r="L31" s="26"/>
      <c r="M31" s="26"/>
      <c r="N31" s="78"/>
    </row>
    <row r="32" spans="2:15" x14ac:dyDescent="0.2">
      <c r="B32" s="2">
        <v>11</v>
      </c>
      <c r="D32" s="77"/>
      <c r="E32" s="72" t="s">
        <v>171</v>
      </c>
      <c r="F32" s="78"/>
      <c r="G32" s="51">
        <f t="shared" ref="G32:M32" si="2">IF($E$28="Y",G28,IF($E$30="Y",G30,"Error: Please enter Y for one method"))</f>
        <v>2293522.0105000003</v>
      </c>
      <c r="H32" s="51">
        <f t="shared" si="2"/>
        <v>2540569.81</v>
      </c>
      <c r="I32" s="51">
        <f t="shared" si="2"/>
        <v>2869730</v>
      </c>
      <c r="J32" s="51">
        <f t="shared" si="2"/>
        <v>0</v>
      </c>
      <c r="K32" s="51">
        <f t="shared" si="2"/>
        <v>0</v>
      </c>
      <c r="L32" s="51">
        <f t="shared" si="2"/>
        <v>0</v>
      </c>
      <c r="M32" s="51">
        <f t="shared" si="2"/>
        <v>0</v>
      </c>
      <c r="N32" s="59" t="s">
        <v>29</v>
      </c>
    </row>
    <row r="33" spans="2:14" ht="13.5" thickBot="1" x14ac:dyDescent="0.25">
      <c r="C33" s="79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78"/>
    </row>
    <row r="34" spans="2:14" s="92" customFormat="1" x14ac:dyDescent="0.2">
      <c r="B34" s="2"/>
      <c r="C34" s="15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153"/>
    </row>
    <row r="35" spans="2:14" x14ac:dyDescent="0.2">
      <c r="C35" s="154"/>
      <c r="D35" s="79" t="s">
        <v>179</v>
      </c>
      <c r="E35" s="26"/>
      <c r="F35" s="26"/>
      <c r="G35" s="86"/>
      <c r="H35" s="222" t="s">
        <v>183</v>
      </c>
      <c r="I35" s="222"/>
      <c r="J35" s="222"/>
      <c r="K35" s="222"/>
      <c r="L35" s="222"/>
      <c r="M35" s="222"/>
      <c r="N35" s="155"/>
    </row>
    <row r="36" spans="2:14" x14ac:dyDescent="0.2">
      <c r="C36" s="154"/>
      <c r="D36" s="171" t="s">
        <v>195</v>
      </c>
      <c r="E36" s="26" t="s">
        <v>203</v>
      </c>
      <c r="F36" s="26"/>
      <c r="G36" s="85">
        <f>G116</f>
        <v>2224139.6800000006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1" t="s">
        <v>196</v>
      </c>
      <c r="E37" s="26" t="s">
        <v>194</v>
      </c>
      <c r="F37" s="26"/>
      <c r="G37" s="51">
        <f>G122</f>
        <v>3596.37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x14ac:dyDescent="0.2">
      <c r="C38" s="154"/>
      <c r="D38" s="172" t="s">
        <v>197</v>
      </c>
      <c r="E38" s="26" t="s">
        <v>83</v>
      </c>
      <c r="F38" s="26"/>
      <c r="G38" s="51">
        <f>G123</f>
        <v>72978.700500000006</v>
      </c>
      <c r="H38" s="125"/>
      <c r="I38" s="125"/>
      <c r="J38" s="120"/>
      <c r="K38" s="120"/>
      <c r="L38" s="120"/>
      <c r="M38" s="120"/>
      <c r="N38" s="155" t="s">
        <v>172</v>
      </c>
    </row>
    <row r="39" spans="2:14" s="92" customFormat="1" ht="13.5" thickBot="1" x14ac:dyDescent="0.25">
      <c r="B39" s="2"/>
      <c r="C39" s="156"/>
      <c r="D39" s="75"/>
      <c r="E39" s="75"/>
      <c r="F39" s="75"/>
      <c r="G39" s="157"/>
      <c r="H39" s="166"/>
      <c r="I39" s="166"/>
      <c r="J39" s="166"/>
      <c r="K39" s="166"/>
      <c r="L39" s="166"/>
      <c r="M39" s="166"/>
      <c r="N39" s="158"/>
    </row>
    <row r="40" spans="2:14" s="92" customFormat="1" ht="13.5" thickBot="1" x14ac:dyDescent="0.25">
      <c r="B40" s="2"/>
      <c r="C40" s="79"/>
      <c r="D40" s="26"/>
      <c r="E40" s="26"/>
      <c r="F40" s="26"/>
      <c r="G40" s="51"/>
      <c r="H40" s="85"/>
      <c r="I40" s="85"/>
      <c r="J40" s="85"/>
      <c r="K40" s="85"/>
      <c r="L40" s="85"/>
      <c r="M40" s="85"/>
      <c r="N40" s="78"/>
    </row>
    <row r="41" spans="2:14" x14ac:dyDescent="0.2">
      <c r="C41" s="15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153"/>
    </row>
    <row r="42" spans="2:14" x14ac:dyDescent="0.2">
      <c r="C42" s="154"/>
      <c r="D42" s="79" t="s">
        <v>178</v>
      </c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7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79" t="s">
        <v>164</v>
      </c>
      <c r="E44" s="79"/>
      <c r="F44" s="14"/>
      <c r="G44" s="37"/>
      <c r="H44" s="26"/>
      <c r="I44" s="26"/>
      <c r="J44" s="26"/>
      <c r="K44" s="26"/>
      <c r="L44" s="26"/>
      <c r="M44" s="26"/>
      <c r="N44" s="155"/>
    </row>
    <row r="45" spans="2:14" x14ac:dyDescent="0.2">
      <c r="C45" s="159"/>
      <c r="D45" s="26"/>
      <c r="E45" s="78">
        <v>5005</v>
      </c>
      <c r="F45" s="151" t="s">
        <v>8</v>
      </c>
      <c r="G45" s="58">
        <f>'Benchmarking Calculations'!G10</f>
        <v>103210.57</v>
      </c>
      <c r="H45" s="142">
        <v>107479</v>
      </c>
      <c r="I45" s="142">
        <v>184601</v>
      </c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5010</v>
      </c>
      <c r="F46" s="151" t="s">
        <v>9</v>
      </c>
      <c r="G46" s="58">
        <f>'Benchmarking Calculations'!G11</f>
        <v>0</v>
      </c>
      <c r="H46" s="142"/>
      <c r="I46" s="142"/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5012</v>
      </c>
      <c r="F47" s="151" t="s">
        <v>10</v>
      </c>
      <c r="G47" s="58">
        <f>'Benchmarking Calculations'!G12</f>
        <v>2199.5100000000002</v>
      </c>
      <c r="H47" s="142">
        <v>1286</v>
      </c>
      <c r="I47" s="142">
        <v>1530</v>
      </c>
      <c r="J47" s="143"/>
      <c r="K47" s="143"/>
      <c r="L47" s="143"/>
      <c r="M47" s="143"/>
      <c r="N47" s="155" t="s">
        <v>172</v>
      </c>
    </row>
    <row r="48" spans="2:14" x14ac:dyDescent="0.2">
      <c r="C48" s="159"/>
      <c r="D48" s="26"/>
      <c r="E48" s="78">
        <v>5014</v>
      </c>
      <c r="F48" s="151" t="s">
        <v>11</v>
      </c>
      <c r="G48" s="58">
        <f>'Benchmarking Calculations'!G13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ht="25.5" x14ac:dyDescent="0.2">
      <c r="C49" s="159"/>
      <c r="D49" s="26"/>
      <c r="E49" s="78">
        <v>5015</v>
      </c>
      <c r="F49" s="151" t="s">
        <v>12</v>
      </c>
      <c r="G49" s="58">
        <f>'Benchmarking Calculations'!G14</f>
        <v>0</v>
      </c>
      <c r="H49" s="142"/>
      <c r="I49" s="142"/>
      <c r="J49" s="143"/>
      <c r="K49" s="143"/>
      <c r="L49" s="143"/>
      <c r="M49" s="143"/>
      <c r="N49" s="155" t="s">
        <v>172</v>
      </c>
    </row>
    <row r="50" spans="3:14" x14ac:dyDescent="0.2">
      <c r="C50" s="159"/>
      <c r="D50" s="26"/>
      <c r="E50" s="78">
        <v>5016</v>
      </c>
      <c r="F50" s="151" t="s">
        <v>13</v>
      </c>
      <c r="G50" s="58">
        <f>'Benchmarking Calculations'!G15</f>
        <v>1490.22</v>
      </c>
      <c r="H50" s="142">
        <v>0</v>
      </c>
      <c r="I50" s="142">
        <v>1358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5017</v>
      </c>
      <c r="F51" s="151" t="s">
        <v>14</v>
      </c>
      <c r="G51" s="58">
        <f>'Benchmarking Calculations'!G16</f>
        <v>9581.44</v>
      </c>
      <c r="H51" s="142">
        <v>10000</v>
      </c>
      <c r="I51" s="142">
        <v>10000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5020</v>
      </c>
      <c r="F52" s="151" t="s">
        <v>15</v>
      </c>
      <c r="G52" s="58">
        <f>'Benchmarking Calculations'!G17</f>
        <v>38979.800000000003</v>
      </c>
      <c r="H52" s="142">
        <v>45414</v>
      </c>
      <c r="I52" s="142">
        <v>62260</v>
      </c>
      <c r="J52" s="143"/>
      <c r="K52" s="143"/>
      <c r="L52" s="143"/>
      <c r="M52" s="143"/>
      <c r="N52" s="155" t="s">
        <v>172</v>
      </c>
    </row>
    <row r="53" spans="3:14" ht="25.5" x14ac:dyDescent="0.2">
      <c r="C53" s="159"/>
      <c r="D53" s="26"/>
      <c r="E53" s="78">
        <v>5025</v>
      </c>
      <c r="F53" s="151" t="s">
        <v>16</v>
      </c>
      <c r="G53" s="58">
        <f>'Benchmarking Calculations'!G18</f>
        <v>1171.1099999999999</v>
      </c>
      <c r="H53" s="142">
        <v>1360</v>
      </c>
      <c r="I53" s="142">
        <v>3333</v>
      </c>
      <c r="J53" s="143"/>
      <c r="K53" s="143"/>
      <c r="L53" s="143"/>
      <c r="M53" s="143"/>
      <c r="N53" s="155" t="s">
        <v>172</v>
      </c>
    </row>
    <row r="54" spans="3:14" x14ac:dyDescent="0.2">
      <c r="C54" s="159"/>
      <c r="D54" s="26"/>
      <c r="E54" s="78">
        <v>5035</v>
      </c>
      <c r="F54" s="151" t="s">
        <v>17</v>
      </c>
      <c r="G54" s="58">
        <f>'Benchmarking Calculations'!G19</f>
        <v>10575</v>
      </c>
      <c r="H54" s="142">
        <v>10550</v>
      </c>
      <c r="I54" s="142">
        <v>15414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5040</v>
      </c>
      <c r="F55" s="151" t="s">
        <v>18</v>
      </c>
      <c r="G55" s="58">
        <f>'Benchmarking Calculations'!G20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ht="25.5" x14ac:dyDescent="0.2">
      <c r="C56" s="159"/>
      <c r="D56" s="26"/>
      <c r="E56" s="78">
        <v>5045</v>
      </c>
      <c r="F56" s="151" t="s">
        <v>19</v>
      </c>
      <c r="G56" s="58">
        <f>'Benchmarking Calculations'!G21</f>
        <v>0</v>
      </c>
      <c r="H56" s="142"/>
      <c r="I56" s="142"/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5055</v>
      </c>
      <c r="F57" s="151" t="s">
        <v>20</v>
      </c>
      <c r="G57" s="58">
        <f>'Benchmarking Calculations'!G22</f>
        <v>1655.03</v>
      </c>
      <c r="H57" s="142">
        <v>765</v>
      </c>
      <c r="I57" s="142">
        <v>1262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5065</v>
      </c>
      <c r="F58" s="151" t="s">
        <v>21</v>
      </c>
      <c r="G58" s="58">
        <f>'Benchmarking Calculations'!G23</f>
        <v>14790.21</v>
      </c>
      <c r="H58" s="142">
        <v>13366</v>
      </c>
      <c r="I58" s="142">
        <v>27032</v>
      </c>
      <c r="J58" s="143"/>
      <c r="K58" s="143"/>
      <c r="L58" s="143"/>
      <c r="M58" s="143"/>
      <c r="N58" s="155" t="s">
        <v>172</v>
      </c>
    </row>
    <row r="59" spans="3:14" x14ac:dyDescent="0.2">
      <c r="C59" s="159"/>
      <c r="D59" s="26"/>
      <c r="E59" s="78">
        <v>5070</v>
      </c>
      <c r="F59" s="151" t="s">
        <v>22</v>
      </c>
      <c r="G59" s="58">
        <f>'Benchmarking Calculations'!G24</f>
        <v>127530.38</v>
      </c>
      <c r="H59" s="142">
        <v>170188</v>
      </c>
      <c r="I59" s="142">
        <v>191508</v>
      </c>
      <c r="J59" s="143"/>
      <c r="K59" s="143"/>
      <c r="L59" s="143"/>
      <c r="M59" s="143"/>
      <c r="N59" s="155" t="s">
        <v>172</v>
      </c>
    </row>
    <row r="60" spans="3:14" ht="25.5" x14ac:dyDescent="0.2">
      <c r="C60" s="159"/>
      <c r="D60" s="26"/>
      <c r="E60" s="78">
        <v>5075</v>
      </c>
      <c r="F60" s="151" t="s">
        <v>23</v>
      </c>
      <c r="G60" s="58">
        <f>'Benchmarking Calculations'!G25</f>
        <v>42767.41</v>
      </c>
      <c r="H60" s="142">
        <v>43422</v>
      </c>
      <c r="I60" s="142">
        <v>71353</v>
      </c>
      <c r="J60" s="143"/>
      <c r="K60" s="143"/>
      <c r="L60" s="143"/>
      <c r="M60" s="143"/>
      <c r="N60" s="155" t="s">
        <v>172</v>
      </c>
    </row>
    <row r="61" spans="3:14" x14ac:dyDescent="0.2">
      <c r="C61" s="159"/>
      <c r="D61" s="26"/>
      <c r="E61" s="78">
        <v>5085</v>
      </c>
      <c r="F61" s="151" t="s">
        <v>24</v>
      </c>
      <c r="G61" s="58">
        <f>'Benchmarking Calculations'!G26</f>
        <v>220792.94</v>
      </c>
      <c r="H61" s="142">
        <v>205483</v>
      </c>
      <c r="I61" s="142">
        <f>284124</f>
        <v>284124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5090</v>
      </c>
      <c r="F62" s="151" t="s">
        <v>25</v>
      </c>
      <c r="G62" s="58">
        <f>'Benchmarking Calculations'!G27</f>
        <v>0</v>
      </c>
      <c r="H62" s="142"/>
      <c r="I62" s="142"/>
      <c r="J62" s="143"/>
      <c r="K62" s="143"/>
      <c r="L62" s="143"/>
      <c r="M62" s="143"/>
      <c r="N62" s="155" t="s">
        <v>172</v>
      </c>
    </row>
    <row r="63" spans="3:14" ht="25.5" x14ac:dyDescent="0.2">
      <c r="C63" s="159"/>
      <c r="D63" s="26"/>
      <c r="E63" s="78">
        <v>5095</v>
      </c>
      <c r="F63" s="151" t="s">
        <v>26</v>
      </c>
      <c r="G63" s="58">
        <f>'Benchmarking Calculations'!G28</f>
        <v>13106.28</v>
      </c>
      <c r="H63" s="142">
        <v>13106</v>
      </c>
      <c r="I63" s="142">
        <v>16198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11">
        <v>5096</v>
      </c>
      <c r="F64" s="170" t="s">
        <v>27</v>
      </c>
      <c r="G64" s="112">
        <f>'Benchmarking Calculations'!G29</f>
        <v>634.88</v>
      </c>
      <c r="H64" s="142"/>
      <c r="I64" s="142"/>
      <c r="J64" s="143"/>
      <c r="K64" s="143"/>
      <c r="L64" s="143"/>
      <c r="M64" s="143"/>
      <c r="N64" s="155" t="s">
        <v>172</v>
      </c>
    </row>
    <row r="65" spans="3:14" x14ac:dyDescent="0.2">
      <c r="C65" s="159"/>
      <c r="D65" s="26"/>
      <c r="E65" s="16"/>
      <c r="F65" s="80" t="s">
        <v>28</v>
      </c>
      <c r="G65" s="110">
        <f>'Benchmarking Calculations'!G30</f>
        <v>588484.78000000014</v>
      </c>
      <c r="H65" s="81">
        <f>SUM(H45:H64)</f>
        <v>622419</v>
      </c>
      <c r="I65" s="81">
        <f t="shared" ref="I65:M65" si="3">SUM(I45:I64)</f>
        <v>869973</v>
      </c>
      <c r="J65" s="81">
        <f t="shared" si="3"/>
        <v>0</v>
      </c>
      <c r="K65" s="81">
        <f t="shared" si="3"/>
        <v>0</v>
      </c>
      <c r="L65" s="81">
        <f t="shared" si="3"/>
        <v>0</v>
      </c>
      <c r="M65" s="81">
        <f t="shared" si="3"/>
        <v>0</v>
      </c>
      <c r="N65" s="160" t="s">
        <v>29</v>
      </c>
    </row>
    <row r="66" spans="3:14" x14ac:dyDescent="0.2">
      <c r="C66" s="159"/>
      <c r="D66" s="26"/>
      <c r="E66" s="78">
        <v>5105</v>
      </c>
      <c r="F66" s="151" t="s">
        <v>30</v>
      </c>
      <c r="G66" s="58">
        <f>'Benchmarking Calculations'!G31</f>
        <v>9914.25</v>
      </c>
      <c r="H66" s="142">
        <v>13115</v>
      </c>
      <c r="I66" s="142">
        <v>2992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5110</v>
      </c>
      <c r="F67" s="151" t="s">
        <v>31</v>
      </c>
      <c r="G67" s="58">
        <f>'Benchmarking Calculations'!G32</f>
        <v>67.34</v>
      </c>
      <c r="H67" s="142">
        <v>1591</v>
      </c>
      <c r="I67" s="142"/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5112</v>
      </c>
      <c r="F68" s="151" t="s">
        <v>32</v>
      </c>
      <c r="G68" s="58">
        <f>'Benchmarking Calculations'!G33</f>
        <v>3596.37</v>
      </c>
      <c r="H68" s="142">
        <v>4208</v>
      </c>
      <c r="I68" s="142">
        <v>10082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5114</v>
      </c>
      <c r="F69" s="151" t="s">
        <v>33</v>
      </c>
      <c r="G69" s="58">
        <f>'Benchmarking Calculations'!G34</f>
        <v>7808.04</v>
      </c>
      <c r="H69" s="142">
        <v>5954</v>
      </c>
      <c r="I69" s="142">
        <v>7471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5120</v>
      </c>
      <c r="F70" s="151" t="s">
        <v>34</v>
      </c>
      <c r="G70" s="58">
        <f>'Benchmarking Calculations'!G35</f>
        <v>26970.27</v>
      </c>
      <c r="H70" s="142">
        <v>21553</v>
      </c>
      <c r="I70" s="142">
        <v>37128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5125</v>
      </c>
      <c r="F71" s="151" t="s">
        <v>35</v>
      </c>
      <c r="G71" s="58">
        <f>'Benchmarking Calculations'!G36</f>
        <v>143750.5</v>
      </c>
      <c r="H71" s="142">
        <v>152197</v>
      </c>
      <c r="I71" s="142">
        <v>215753</v>
      </c>
      <c r="J71" s="143"/>
      <c r="K71" s="143"/>
      <c r="L71" s="143"/>
      <c r="M71" s="143"/>
      <c r="N71" s="155" t="s">
        <v>172</v>
      </c>
    </row>
    <row r="72" spans="3:14" x14ac:dyDescent="0.2">
      <c r="C72" s="159"/>
      <c r="D72" s="26"/>
      <c r="E72" s="78">
        <v>5130</v>
      </c>
      <c r="F72" s="151" t="s">
        <v>36</v>
      </c>
      <c r="G72" s="58">
        <f>'Benchmarking Calculations'!G37</f>
        <v>105866.96</v>
      </c>
      <c r="H72" s="142">
        <v>177451</v>
      </c>
      <c r="I72" s="142">
        <v>171917</v>
      </c>
      <c r="J72" s="143"/>
      <c r="K72" s="143"/>
      <c r="L72" s="143"/>
      <c r="M72" s="143"/>
      <c r="N72" s="155" t="s">
        <v>172</v>
      </c>
    </row>
    <row r="73" spans="3:14" ht="25.5" x14ac:dyDescent="0.2">
      <c r="C73" s="159"/>
      <c r="D73" s="26"/>
      <c r="E73" s="78">
        <v>5135</v>
      </c>
      <c r="F73" s="151" t="s">
        <v>37</v>
      </c>
      <c r="G73" s="58">
        <f>'Benchmarking Calculations'!G38</f>
        <v>81751.75</v>
      </c>
      <c r="H73" s="142">
        <v>104336</v>
      </c>
      <c r="I73" s="142">
        <v>120658</v>
      </c>
      <c r="J73" s="143"/>
      <c r="K73" s="143"/>
      <c r="L73" s="143"/>
      <c r="M73" s="143"/>
      <c r="N73" s="155" t="s">
        <v>172</v>
      </c>
    </row>
    <row r="74" spans="3:14" x14ac:dyDescent="0.2">
      <c r="C74" s="159"/>
      <c r="D74" s="26"/>
      <c r="E74" s="78">
        <v>5145</v>
      </c>
      <c r="F74" s="151" t="s">
        <v>38</v>
      </c>
      <c r="G74" s="58">
        <f>'Benchmarking Calculations'!G39</f>
        <v>12084.19</v>
      </c>
      <c r="H74" s="142">
        <v>14299</v>
      </c>
      <c r="I74" s="142">
        <v>956</v>
      </c>
      <c r="J74" s="143"/>
      <c r="K74" s="143"/>
      <c r="L74" s="143"/>
      <c r="M74" s="143"/>
      <c r="N74" s="155" t="s">
        <v>172</v>
      </c>
    </row>
    <row r="75" spans="3:14" ht="25.5" x14ac:dyDescent="0.2">
      <c r="C75" s="159"/>
      <c r="D75" s="26"/>
      <c r="E75" s="78">
        <v>5150</v>
      </c>
      <c r="F75" s="151" t="s">
        <v>39</v>
      </c>
      <c r="G75" s="58">
        <f>'Benchmarking Calculations'!G40</f>
        <v>32500.52</v>
      </c>
      <c r="H75" s="142">
        <v>31024</v>
      </c>
      <c r="I75" s="142">
        <v>41542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5155</v>
      </c>
      <c r="F76" s="151" t="s">
        <v>40</v>
      </c>
      <c r="G76" s="58">
        <f>'Benchmarking Calculations'!G41</f>
        <v>9081.82</v>
      </c>
      <c r="H76" s="142">
        <v>2856</v>
      </c>
      <c r="I76" s="142">
        <v>14491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78">
        <v>5160</v>
      </c>
      <c r="F77" s="151" t="s">
        <v>41</v>
      </c>
      <c r="G77" s="58">
        <f>'Benchmarking Calculations'!G42</f>
        <v>11375.94</v>
      </c>
      <c r="H77" s="142">
        <v>16715</v>
      </c>
      <c r="I77" s="142">
        <v>18959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11">
        <v>5175</v>
      </c>
      <c r="F78" s="170" t="s">
        <v>42</v>
      </c>
      <c r="G78" s="112">
        <f>'Benchmarking Calculations'!G43</f>
        <v>574.03</v>
      </c>
      <c r="H78" s="142">
        <v>565</v>
      </c>
      <c r="I78" s="142">
        <v>511</v>
      </c>
      <c r="J78" s="143"/>
      <c r="K78" s="143"/>
      <c r="L78" s="143"/>
      <c r="M78" s="143"/>
      <c r="N78" s="155" t="s">
        <v>172</v>
      </c>
    </row>
    <row r="79" spans="3:14" x14ac:dyDescent="0.2">
      <c r="C79" s="159"/>
      <c r="D79" s="26"/>
      <c r="E79" s="16"/>
      <c r="F79" s="80" t="s">
        <v>43</v>
      </c>
      <c r="G79" s="110">
        <f>'Benchmarking Calculations'!G44</f>
        <v>445341.9800000001</v>
      </c>
      <c r="H79" s="81">
        <f>SUM(H66:H78)</f>
        <v>545864</v>
      </c>
      <c r="I79" s="81">
        <f t="shared" ref="I79:M79" si="4">SUM(I66:I78)</f>
        <v>642460</v>
      </c>
      <c r="J79" s="81">
        <f t="shared" si="4"/>
        <v>0</v>
      </c>
      <c r="K79" s="81">
        <f t="shared" si="4"/>
        <v>0</v>
      </c>
      <c r="L79" s="81">
        <f t="shared" si="4"/>
        <v>0</v>
      </c>
      <c r="M79" s="81">
        <f t="shared" si="4"/>
        <v>0</v>
      </c>
      <c r="N79" s="160" t="s">
        <v>29</v>
      </c>
    </row>
    <row r="80" spans="3:14" x14ac:dyDescent="0.2">
      <c r="C80" s="159"/>
      <c r="D80" s="26"/>
      <c r="E80" s="78">
        <v>5305</v>
      </c>
      <c r="F80" s="78" t="s">
        <v>44</v>
      </c>
      <c r="G80" s="58">
        <f>'Benchmarking Calculations'!G45</f>
        <v>83896.7</v>
      </c>
      <c r="H80" s="142">
        <v>87487</v>
      </c>
      <c r="I80" s="142">
        <v>110301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5310</v>
      </c>
      <c r="F81" s="78" t="s">
        <v>45</v>
      </c>
      <c r="G81" s="58">
        <f>'Benchmarking Calculations'!G46</f>
        <v>178101.85</v>
      </c>
      <c r="H81" s="142">
        <v>191697</v>
      </c>
      <c r="I81" s="142">
        <v>198123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5315</v>
      </c>
      <c r="F82" s="78" t="s">
        <v>46</v>
      </c>
      <c r="G82" s="58">
        <f>'Benchmarking Calculations'!G47</f>
        <v>163828.26</v>
      </c>
      <c r="H82" s="142">
        <v>215755</v>
      </c>
      <c r="I82" s="142">
        <v>210505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5320</v>
      </c>
      <c r="F83" s="78" t="s">
        <v>47</v>
      </c>
      <c r="G83" s="58">
        <f>'Benchmarking Calculations'!G48</f>
        <v>114155</v>
      </c>
      <c r="H83" s="142">
        <v>127757</v>
      </c>
      <c r="I83" s="142">
        <v>145816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5325</v>
      </c>
      <c r="F84" s="78" t="s">
        <v>48</v>
      </c>
      <c r="G84" s="58">
        <f>'Benchmarking Calculations'!G49</f>
        <v>25.05</v>
      </c>
      <c r="H84" s="142">
        <v>107</v>
      </c>
      <c r="I84" s="142">
        <v>27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78">
        <v>5330</v>
      </c>
      <c r="F85" s="78" t="s">
        <v>49</v>
      </c>
      <c r="G85" s="58">
        <f>'Benchmarking Calculations'!G50</f>
        <v>3944.55</v>
      </c>
      <c r="H85" s="142">
        <v>1543</v>
      </c>
      <c r="I85" s="142">
        <v>4145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11">
        <v>5340</v>
      </c>
      <c r="F86" s="111" t="s">
        <v>50</v>
      </c>
      <c r="G86" s="112">
        <f>'Benchmarking Calculations'!G51</f>
        <v>2123.2600000000002</v>
      </c>
      <c r="H86" s="142">
        <v>3352</v>
      </c>
      <c r="I86" s="142">
        <v>2647</v>
      </c>
      <c r="J86" s="143"/>
      <c r="K86" s="143"/>
      <c r="L86" s="143"/>
      <c r="M86" s="143"/>
      <c r="N86" s="155" t="s">
        <v>172</v>
      </c>
    </row>
    <row r="87" spans="3:14" x14ac:dyDescent="0.2">
      <c r="C87" s="159"/>
      <c r="D87" s="26"/>
      <c r="E87" s="16"/>
      <c r="F87" s="80" t="s">
        <v>51</v>
      </c>
      <c r="G87" s="110">
        <f>'Benchmarking Calculations'!G52</f>
        <v>546074.67000000016</v>
      </c>
      <c r="H87" s="81">
        <f>SUM(H80:H86)</f>
        <v>627698</v>
      </c>
      <c r="I87" s="81">
        <f t="shared" ref="I87:M87" si="5">SUM(I80:I86)</f>
        <v>671564</v>
      </c>
      <c r="J87" s="81">
        <f t="shared" si="5"/>
        <v>0</v>
      </c>
      <c r="K87" s="81">
        <f t="shared" si="5"/>
        <v>0</v>
      </c>
      <c r="L87" s="81">
        <f t="shared" si="5"/>
        <v>0</v>
      </c>
      <c r="M87" s="81">
        <f t="shared" si="5"/>
        <v>0</v>
      </c>
      <c r="N87" s="160" t="s">
        <v>29</v>
      </c>
    </row>
    <row r="88" spans="3:14" x14ac:dyDescent="0.2">
      <c r="C88" s="159"/>
      <c r="D88" s="26"/>
      <c r="E88" s="78">
        <v>5405</v>
      </c>
      <c r="F88" s="78" t="s">
        <v>52</v>
      </c>
      <c r="G88" s="58">
        <f>'Benchmarking Calculations'!G53</f>
        <v>0</v>
      </c>
      <c r="H88" s="142"/>
      <c r="I88" s="142"/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5410</v>
      </c>
      <c r="F89" s="78" t="s">
        <v>53</v>
      </c>
      <c r="G89" s="58">
        <f>'Benchmarking Calculations'!G54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78">
        <v>5420</v>
      </c>
      <c r="F90" s="78" t="s">
        <v>54</v>
      </c>
      <c r="G90" s="58">
        <f>'Benchmarking Calculations'!G55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11">
        <v>5425</v>
      </c>
      <c r="F91" s="111" t="s">
        <v>55</v>
      </c>
      <c r="G91" s="112">
        <f>'Benchmarking Calculations'!G56</f>
        <v>0</v>
      </c>
      <c r="H91" s="142"/>
      <c r="I91" s="142"/>
      <c r="J91" s="143"/>
      <c r="K91" s="143"/>
      <c r="L91" s="143"/>
      <c r="M91" s="143"/>
      <c r="N91" s="155" t="s">
        <v>172</v>
      </c>
    </row>
    <row r="92" spans="3:14" x14ac:dyDescent="0.2">
      <c r="C92" s="159"/>
      <c r="D92" s="26"/>
      <c r="E92" s="16"/>
      <c r="F92" s="80" t="s">
        <v>56</v>
      </c>
      <c r="G92" s="110">
        <f>'Benchmarking Calculations'!G57</f>
        <v>0</v>
      </c>
      <c r="H92" s="81">
        <f>SUM(H88:H91)</f>
        <v>0</v>
      </c>
      <c r="I92" s="81">
        <f t="shared" ref="I92:M92" si="6">SUM(I88:I91)</f>
        <v>0</v>
      </c>
      <c r="J92" s="81">
        <f t="shared" si="6"/>
        <v>0</v>
      </c>
      <c r="K92" s="81">
        <f t="shared" si="6"/>
        <v>0</v>
      </c>
      <c r="L92" s="81">
        <f t="shared" si="6"/>
        <v>0</v>
      </c>
      <c r="M92" s="81">
        <f t="shared" si="6"/>
        <v>0</v>
      </c>
      <c r="N92" s="160" t="s">
        <v>29</v>
      </c>
    </row>
    <row r="93" spans="3:14" x14ac:dyDescent="0.2">
      <c r="C93" s="159"/>
      <c r="D93" s="26"/>
      <c r="E93" s="78">
        <v>5605</v>
      </c>
      <c r="F93" s="78" t="s">
        <v>57</v>
      </c>
      <c r="G93" s="58">
        <f>'Benchmarking Calculations'!G58</f>
        <v>34192.49</v>
      </c>
      <c r="H93" s="142">
        <v>29191</v>
      </c>
      <c r="I93" s="142">
        <v>45568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5610</v>
      </c>
      <c r="F94" s="78" t="s">
        <v>58</v>
      </c>
      <c r="G94" s="58">
        <f>'Benchmarking Calculations'!G59</f>
        <v>126349.8</v>
      </c>
      <c r="H94" s="142">
        <v>138077</v>
      </c>
      <c r="I94" s="142">
        <v>146733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5615</v>
      </c>
      <c r="F95" s="78" t="s">
        <v>59</v>
      </c>
      <c r="G95" s="58">
        <f>'Benchmarking Calculations'!G60</f>
        <v>104931.8</v>
      </c>
      <c r="H95" s="142">
        <v>106628</v>
      </c>
      <c r="I95" s="142">
        <v>118729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5620</v>
      </c>
      <c r="F96" s="78" t="s">
        <v>60</v>
      </c>
      <c r="G96" s="58">
        <f>'Benchmarking Calculations'!G61</f>
        <v>102652.29</v>
      </c>
      <c r="H96" s="142">
        <v>121011</v>
      </c>
      <c r="I96" s="142">
        <v>104392</v>
      </c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5625</v>
      </c>
      <c r="F97" s="78" t="s">
        <v>61</v>
      </c>
      <c r="G97" s="58">
        <f>'Benchmarking Calculations'!G62</f>
        <v>0</v>
      </c>
      <c r="H97" s="142"/>
      <c r="I97" s="142"/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5630</v>
      </c>
      <c r="F98" s="78" t="s">
        <v>62</v>
      </c>
      <c r="G98" s="58">
        <f>'Benchmarking Calculations'!G63</f>
        <v>193377.04</v>
      </c>
      <c r="H98" s="142">
        <v>211025</v>
      </c>
      <c r="I98" s="142">
        <v>113133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5640</v>
      </c>
      <c r="F99" s="78" t="s">
        <v>63</v>
      </c>
      <c r="G99" s="58">
        <f>'Benchmarking Calculations'!G64</f>
        <v>0</v>
      </c>
      <c r="H99" s="142"/>
      <c r="I99" s="142"/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5645</v>
      </c>
      <c r="F100" s="78" t="s">
        <v>64</v>
      </c>
      <c r="G100" s="58">
        <f>'Benchmarking Calculations'!G65</f>
        <v>9220.36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5646</v>
      </c>
      <c r="F101" s="78" t="s">
        <v>65</v>
      </c>
      <c r="G101" s="58">
        <f>'Benchmarking Calculations'!G66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5647</v>
      </c>
      <c r="F102" s="78" t="s">
        <v>66</v>
      </c>
      <c r="G102" s="58">
        <f>'Benchmarking Calculations'!G67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5650</v>
      </c>
      <c r="F103" s="78" t="s">
        <v>67</v>
      </c>
      <c r="G103" s="58">
        <f>'Benchmarking Calculations'!G68</f>
        <v>0</v>
      </c>
      <c r="H103" s="142"/>
      <c r="I103" s="142"/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5655</v>
      </c>
      <c r="F104" s="78" t="s">
        <v>68</v>
      </c>
      <c r="G104" s="58">
        <f>'Benchmarking Calculations'!G69</f>
        <v>25216.77</v>
      </c>
      <c r="H104" s="142">
        <v>28141.81</v>
      </c>
      <c r="I104" s="142">
        <v>47305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5665</v>
      </c>
      <c r="F105" s="78" t="s">
        <v>69</v>
      </c>
      <c r="G105" s="58">
        <f>'Benchmarking Calculations'!G70</f>
        <v>9733.66</v>
      </c>
      <c r="H105" s="142">
        <v>7560</v>
      </c>
      <c r="I105" s="142">
        <v>8093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5670</v>
      </c>
      <c r="F106" s="78" t="s">
        <v>70</v>
      </c>
      <c r="G106" s="58">
        <f>'Benchmarking Calculations'!G71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5672</v>
      </c>
      <c r="F107" s="78" t="s">
        <v>71</v>
      </c>
      <c r="G107" s="58">
        <f>'Benchmarking Calculations'!G72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78">
        <v>5675</v>
      </c>
      <c r="F108" s="78" t="s">
        <v>72</v>
      </c>
      <c r="G108" s="58">
        <f>'Benchmarking Calculations'!G73</f>
        <v>0</v>
      </c>
      <c r="H108" s="142"/>
      <c r="I108" s="142"/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11">
        <v>5680</v>
      </c>
      <c r="F109" s="111" t="s">
        <v>73</v>
      </c>
      <c r="G109" s="112">
        <f>'Benchmarking Calculations'!G74</f>
        <v>4146.4799999999996</v>
      </c>
      <c r="H109" s="142">
        <v>3854</v>
      </c>
      <c r="I109" s="142">
        <v>4356</v>
      </c>
      <c r="J109" s="143"/>
      <c r="K109" s="143"/>
      <c r="L109" s="143"/>
      <c r="M109" s="143"/>
      <c r="N109" s="155" t="s">
        <v>172</v>
      </c>
    </row>
    <row r="110" spans="3:14" x14ac:dyDescent="0.2">
      <c r="C110" s="159"/>
      <c r="D110" s="26"/>
      <c r="E110" s="13"/>
      <c r="F110" s="80" t="s">
        <v>74</v>
      </c>
      <c r="G110" s="110">
        <f>'Benchmarking Calculations'!G75</f>
        <v>609820.69000000006</v>
      </c>
      <c r="H110" s="81">
        <f>SUM(H93:H109)</f>
        <v>645487.81000000006</v>
      </c>
      <c r="I110" s="81">
        <f t="shared" ref="I110:M110" si="7">SUM(I93:I109)</f>
        <v>588309</v>
      </c>
      <c r="J110" s="81">
        <f t="shared" si="7"/>
        <v>0</v>
      </c>
      <c r="K110" s="81">
        <f t="shared" si="7"/>
        <v>0</v>
      </c>
      <c r="L110" s="81">
        <f t="shared" si="7"/>
        <v>0</v>
      </c>
      <c r="M110" s="81">
        <f t="shared" si="7"/>
        <v>0</v>
      </c>
      <c r="N110" s="160" t="s">
        <v>29</v>
      </c>
    </row>
    <row r="111" spans="3:14" x14ac:dyDescent="0.2">
      <c r="C111" s="159"/>
      <c r="D111" s="26"/>
      <c r="E111" s="78">
        <v>5635</v>
      </c>
      <c r="F111" s="78" t="s">
        <v>75</v>
      </c>
      <c r="G111" s="58">
        <f>'Benchmarking Calculations'!G76</f>
        <v>34417.56</v>
      </c>
      <c r="H111" s="142">
        <v>37530</v>
      </c>
      <c r="I111" s="142">
        <v>39692</v>
      </c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111">
        <v>6210</v>
      </c>
      <c r="F112" s="111" t="s">
        <v>76</v>
      </c>
      <c r="G112" s="112">
        <f>'Benchmarking Calculations'!G77</f>
        <v>0</v>
      </c>
      <c r="H112" s="142"/>
      <c r="I112" s="142"/>
      <c r="J112" s="143"/>
      <c r="K112" s="143"/>
      <c r="L112" s="143"/>
      <c r="M112" s="143"/>
      <c r="N112" s="155" t="s">
        <v>172</v>
      </c>
    </row>
    <row r="113" spans="3:14" x14ac:dyDescent="0.2">
      <c r="C113" s="159"/>
      <c r="D113" s="26"/>
      <c r="E113" s="26"/>
      <c r="F113" s="80" t="s">
        <v>77</v>
      </c>
      <c r="G113" s="110">
        <f>'Benchmarking Calculations'!G78</f>
        <v>34417.56</v>
      </c>
      <c r="H113" s="81">
        <f>H111+H112</f>
        <v>37530</v>
      </c>
      <c r="I113" s="81">
        <f t="shared" ref="I113:M113" si="8">I111+I112</f>
        <v>39692</v>
      </c>
      <c r="J113" s="81">
        <f t="shared" si="8"/>
        <v>0</v>
      </c>
      <c r="K113" s="81">
        <f t="shared" si="8"/>
        <v>0</v>
      </c>
      <c r="L113" s="81">
        <f t="shared" si="8"/>
        <v>0</v>
      </c>
      <c r="M113" s="81">
        <f t="shared" si="8"/>
        <v>0</v>
      </c>
      <c r="N113" s="160" t="s">
        <v>29</v>
      </c>
    </row>
    <row r="114" spans="3:14" x14ac:dyDescent="0.2">
      <c r="C114" s="159"/>
      <c r="D114" s="26"/>
      <c r="E114" s="113">
        <v>5515</v>
      </c>
      <c r="F114" s="111" t="s">
        <v>78</v>
      </c>
      <c r="G114" s="112">
        <f>'Benchmarking Calculations'!G79</f>
        <v>0</v>
      </c>
      <c r="H114" s="142"/>
      <c r="I114" s="142"/>
      <c r="J114" s="143"/>
      <c r="K114" s="143"/>
      <c r="L114" s="143"/>
      <c r="M114" s="143"/>
      <c r="N114" s="155" t="s">
        <v>172</v>
      </c>
    </row>
    <row r="115" spans="3:14" x14ac:dyDescent="0.2">
      <c r="C115" s="159"/>
      <c r="D115" s="77"/>
      <c r="E115" s="16"/>
      <c r="F115" s="80" t="s">
        <v>79</v>
      </c>
      <c r="G115" s="110">
        <f>'Benchmarking Calculations'!G80</f>
        <v>0</v>
      </c>
      <c r="H115" s="81">
        <f>H114</f>
        <v>0</v>
      </c>
      <c r="I115" s="81">
        <f t="shared" ref="I115:M115" si="9">I114</f>
        <v>0</v>
      </c>
      <c r="J115" s="81">
        <f t="shared" si="9"/>
        <v>0</v>
      </c>
      <c r="K115" s="81">
        <f t="shared" si="9"/>
        <v>0</v>
      </c>
      <c r="L115" s="81">
        <f t="shared" si="9"/>
        <v>0</v>
      </c>
      <c r="M115" s="81">
        <f t="shared" si="9"/>
        <v>0</v>
      </c>
      <c r="N115" s="160" t="s">
        <v>29</v>
      </c>
    </row>
    <row r="116" spans="3:14" x14ac:dyDescent="0.2">
      <c r="C116" s="159"/>
      <c r="D116" s="77"/>
      <c r="E116" s="173" t="s">
        <v>199</v>
      </c>
      <c r="F116" s="80" t="s">
        <v>80</v>
      </c>
      <c r="G116" s="58">
        <f>'Benchmarking Calculations'!G81</f>
        <v>2224139.6800000006</v>
      </c>
      <c r="H116" s="81">
        <f>H115+H113+H110+H92+H87+H79+H65</f>
        <v>2478998.81</v>
      </c>
      <c r="I116" s="81">
        <f t="shared" ref="I116:M116" si="10">I115+I113+I110+I92+I87+I79+I65</f>
        <v>2811998</v>
      </c>
      <c r="J116" s="81">
        <f t="shared" si="10"/>
        <v>0</v>
      </c>
      <c r="K116" s="81">
        <f t="shared" si="10"/>
        <v>0</v>
      </c>
      <c r="L116" s="81">
        <f t="shared" si="10"/>
        <v>0</v>
      </c>
      <c r="M116" s="81">
        <f t="shared" si="10"/>
        <v>0</v>
      </c>
      <c r="N116" s="160" t="s">
        <v>29</v>
      </c>
    </row>
    <row r="117" spans="3:14" x14ac:dyDescent="0.2">
      <c r="C117" s="159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5"/>
    </row>
    <row r="118" spans="3:14" x14ac:dyDescent="0.2">
      <c r="C118" s="159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5"/>
    </row>
    <row r="119" spans="3:14" x14ac:dyDescent="0.2">
      <c r="C119" s="159"/>
      <c r="D119" s="84"/>
      <c r="E119" s="84"/>
      <c r="F119" s="59">
        <v>5014</v>
      </c>
      <c r="G119" s="58">
        <f>G48</f>
        <v>0</v>
      </c>
      <c r="H119" s="58">
        <f t="shared" ref="H119:L119" si="11">H48</f>
        <v>0</v>
      </c>
      <c r="I119" s="58">
        <f t="shared" si="11"/>
        <v>0</v>
      </c>
      <c r="J119" s="58">
        <f t="shared" si="11"/>
        <v>0</v>
      </c>
      <c r="K119" s="58">
        <f t="shared" si="11"/>
        <v>0</v>
      </c>
      <c r="L119" s="58">
        <f t="shared" si="11"/>
        <v>0</v>
      </c>
      <c r="M119" s="58">
        <f t="shared" ref="M119" si="12">M48</f>
        <v>0</v>
      </c>
      <c r="N119" s="160" t="s">
        <v>29</v>
      </c>
    </row>
    <row r="120" spans="3:14" x14ac:dyDescent="0.2">
      <c r="C120" s="159"/>
      <c r="D120" s="84"/>
      <c r="F120" s="59">
        <v>5015</v>
      </c>
      <c r="G120" s="58">
        <f>G49</f>
        <v>0</v>
      </c>
      <c r="H120" s="58">
        <f t="shared" ref="H120:L120" si="13">H49</f>
        <v>0</v>
      </c>
      <c r="I120" s="58">
        <f t="shared" si="13"/>
        <v>0</v>
      </c>
      <c r="J120" s="58">
        <f t="shared" si="13"/>
        <v>0</v>
      </c>
      <c r="K120" s="58">
        <f t="shared" si="13"/>
        <v>0</v>
      </c>
      <c r="L120" s="58">
        <f t="shared" si="13"/>
        <v>0</v>
      </c>
      <c r="M120" s="58">
        <f t="shared" ref="M120" si="14">M49</f>
        <v>0</v>
      </c>
      <c r="N120" s="160" t="s">
        <v>29</v>
      </c>
    </row>
    <row r="121" spans="3:14" x14ac:dyDescent="0.2">
      <c r="C121" s="159"/>
      <c r="D121" s="84"/>
      <c r="F121" s="59">
        <v>5112</v>
      </c>
      <c r="G121" s="58">
        <f>G68</f>
        <v>3596.37</v>
      </c>
      <c r="H121" s="58">
        <f>H68</f>
        <v>4208</v>
      </c>
      <c r="I121" s="58">
        <f t="shared" ref="I121:L121" si="15">I68</f>
        <v>10082</v>
      </c>
      <c r="J121" s="58">
        <f t="shared" si="15"/>
        <v>0</v>
      </c>
      <c r="K121" s="58">
        <f t="shared" si="15"/>
        <v>0</v>
      </c>
      <c r="L121" s="58">
        <f t="shared" si="15"/>
        <v>0</v>
      </c>
      <c r="M121" s="58">
        <f t="shared" ref="M121" si="16">M68</f>
        <v>0</v>
      </c>
      <c r="N121" s="160" t="s">
        <v>29</v>
      </c>
    </row>
    <row r="122" spans="3:14" x14ac:dyDescent="0.2">
      <c r="C122" s="159"/>
      <c r="D122" s="77"/>
      <c r="E122" s="173" t="s">
        <v>200</v>
      </c>
      <c r="F122" s="80" t="s">
        <v>82</v>
      </c>
      <c r="G122" s="110">
        <f>'Benchmarking Calculations'!G87</f>
        <v>3596.37</v>
      </c>
      <c r="H122" s="110">
        <f>H48+H49+H68</f>
        <v>4208</v>
      </c>
      <c r="I122" s="110">
        <f t="shared" ref="I122:L122" si="17">I48+I49+I68</f>
        <v>10082</v>
      </c>
      <c r="J122" s="110">
        <f t="shared" si="17"/>
        <v>0</v>
      </c>
      <c r="K122" s="110">
        <f t="shared" si="17"/>
        <v>0</v>
      </c>
      <c r="L122" s="110">
        <f t="shared" si="17"/>
        <v>0</v>
      </c>
      <c r="M122" s="110">
        <f t="shared" ref="M122" si="18">M48+M49+M68</f>
        <v>0</v>
      </c>
      <c r="N122" s="174" t="s">
        <v>29</v>
      </c>
    </row>
    <row r="123" spans="3:14" x14ac:dyDescent="0.2">
      <c r="C123" s="159"/>
      <c r="D123" s="77"/>
      <c r="E123" s="175" t="s">
        <v>201</v>
      </c>
      <c r="F123" s="80" t="s">
        <v>83</v>
      </c>
      <c r="G123" s="110">
        <f>'Benchmarking Calculations'!G88</f>
        <v>72978.700500000006</v>
      </c>
      <c r="H123" s="176">
        <v>65779</v>
      </c>
      <c r="I123" s="176">
        <v>67814</v>
      </c>
      <c r="J123" s="176"/>
      <c r="K123" s="176"/>
      <c r="L123" s="176"/>
      <c r="M123" s="176"/>
      <c r="N123" s="177" t="s">
        <v>172</v>
      </c>
    </row>
    <row r="124" spans="3:14" ht="13.5" thickBot="1" x14ac:dyDescent="0.25">
      <c r="C124" s="161"/>
      <c r="D124" s="162"/>
      <c r="E124" s="162"/>
      <c r="F124" s="163"/>
      <c r="G124" s="157"/>
      <c r="H124" s="164"/>
      <c r="I124" s="165"/>
      <c r="J124" s="75"/>
      <c r="K124" s="75"/>
      <c r="L124" s="75"/>
      <c r="M124" s="75"/>
      <c r="N124" s="158"/>
    </row>
    <row r="125" spans="3:14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</sheetData>
  <mergeCells count="6">
    <mergeCell ref="H35:M35"/>
    <mergeCell ref="C2:N2"/>
    <mergeCell ref="C3:N3"/>
    <mergeCell ref="J5:M5"/>
    <mergeCell ref="H9:M9"/>
    <mergeCell ref="H20:M20"/>
  </mergeCells>
  <pageMargins left="0.70866141732283472" right="0.70866141732283472" top="0.74803149606299213" bottom="0.74803149606299213" header="0.31496062992125984" footer="0.31496062992125984"/>
  <pageSetup scale="4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74"/>
  <sheetViews>
    <sheetView zoomScaleNormal="100" workbookViewId="0">
      <pane ySplit="5" topLeftCell="A102" activePane="bottomLeft" state="frozen"/>
      <selection activeCell="G33" sqref="G33"/>
      <selection pane="bottomLeft" activeCell="H122" sqref="H12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8" t="s">
        <v>1</v>
      </c>
      <c r="C3" s="228"/>
      <c r="D3" s="101"/>
      <c r="E3" s="102" t="str">
        <f>'Model Inputs'!F5</f>
        <v>Northern Ontario Wires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103210.57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2199.5100000000002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1490.22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9581.44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38979.800000000003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1171.1099999999999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10575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1655.03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14790.21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127530.38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42767.41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220792.94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13106.28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634.88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588484.78000000014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9914.25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67.34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3596.37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7808.04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26970.27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143750.5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105866.96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81751.75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12084.19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32500.52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9081.82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11375.94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574.03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445341.9800000001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83896.7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178101.85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163828.26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114155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25.05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3944.55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2123.2600000000002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546074.67000000016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34192.49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126349.8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104931.8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102652.29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193377.04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9220.36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25216.77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9733.66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4146.4799999999996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609820.69000000006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34417.56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34417.56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2224139.6800000006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3596.37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3596.37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>HLOOKUP($E$3,$P$3:$CI$269,O88,FALSE)</f>
        <v>72978.700500000006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2293522.0105000003</v>
      </c>
      <c r="H89" s="186">
        <f>'Model Inputs'!H32</f>
        <v>2540569.81</v>
      </c>
      <c r="I89" s="187">
        <f>'Model Inputs'!I32</f>
        <v>2869730</v>
      </c>
      <c r="J89" s="187">
        <f>'Model Inputs'!J32</f>
        <v>0</v>
      </c>
      <c r="K89" s="187">
        <f>'Model Inputs'!K32</f>
        <v>0</v>
      </c>
      <c r="L89" s="187">
        <f>'Model Inputs'!L32</f>
        <v>0</v>
      </c>
      <c r="M89" s="188">
        <f>'Model Inputs'!M32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424755</v>
      </c>
      <c r="H92" s="186">
        <f>'Model Inputs'!H10</f>
        <v>962243</v>
      </c>
      <c r="I92" s="187">
        <f>'Model Inputs'!I10</f>
        <v>827500</v>
      </c>
      <c r="J92" s="187">
        <f>'Model Inputs'!J10</f>
        <v>0</v>
      </c>
      <c r="K92" s="187">
        <f>'Model Inputs'!K10</f>
        <v>0</v>
      </c>
      <c r="L92" s="187">
        <f>'Model Inputs'!L10</f>
        <v>0</v>
      </c>
      <c r="M92" s="188">
        <f>'Model Inputs'!M10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Inputs'!H11</f>
        <v>0</v>
      </c>
      <c r="I93" s="187">
        <f>'Model Inputs'!I11</f>
        <v>0</v>
      </c>
      <c r="J93" s="187">
        <f>'Model Inputs'!J11</f>
        <v>0</v>
      </c>
      <c r="K93" s="187">
        <f>'Model Inputs'!K11</f>
        <v>0</v>
      </c>
      <c r="L93" s="187">
        <f>'Model Inputs'!L11</f>
        <v>0</v>
      </c>
      <c r="M93" s="188">
        <f>'Model Inputs'!M11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6075</v>
      </c>
      <c r="H96" s="186">
        <f>'Model Inputs'!H14</f>
        <v>6074</v>
      </c>
      <c r="I96" s="187">
        <f>'Model Inputs'!I14</f>
        <v>6071</v>
      </c>
      <c r="J96" s="187">
        <f>'Model Inputs'!J14</f>
        <v>0</v>
      </c>
      <c r="K96" s="187">
        <f>'Model Inputs'!K14</f>
        <v>0</v>
      </c>
      <c r="L96" s="187">
        <f>'Model Inputs'!L14</f>
        <v>0</v>
      </c>
      <c r="M96" s="188">
        <f>'Model Inputs'!M14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120944395</v>
      </c>
      <c r="H97" s="186">
        <f>'Model Inputs'!H15</f>
        <v>124919501</v>
      </c>
      <c r="I97" s="187">
        <f>'Model Inputs'!I15</f>
        <v>123307945</v>
      </c>
      <c r="J97" s="187">
        <f>'Model Inputs'!J15</f>
        <v>0</v>
      </c>
      <c r="K97" s="187">
        <f>'Model Inputs'!K15</f>
        <v>0</v>
      </c>
      <c r="L97" s="187">
        <f>'Model Inputs'!L15</f>
        <v>0</v>
      </c>
      <c r="M97" s="188">
        <f>'Model Inputs'!M15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23679</v>
      </c>
      <c r="H98" s="186">
        <f>'Model Inputs'!H16</f>
        <v>23252</v>
      </c>
      <c r="I98" s="187">
        <f>'Model Inputs'!I16</f>
        <v>23250</v>
      </c>
      <c r="J98" s="187">
        <f>'Model Inputs'!J16</f>
        <v>0</v>
      </c>
      <c r="K98" s="187">
        <f>'Model Inputs'!K16</f>
        <v>0</v>
      </c>
      <c r="L98" s="187">
        <f>'Model Inputs'!L16</f>
        <v>0</v>
      </c>
      <c r="M98" s="188">
        <f>'Model Inputs'!M16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370</v>
      </c>
      <c r="H99" s="186">
        <f>'Model Inputs'!H17</f>
        <v>370</v>
      </c>
      <c r="I99" s="187">
        <f>'Model Inputs'!I17</f>
        <v>370</v>
      </c>
      <c r="J99" s="187">
        <f>'Model Inputs'!J17</f>
        <v>0</v>
      </c>
      <c r="K99" s="187">
        <f>'Model Inputs'!K17</f>
        <v>0</v>
      </c>
      <c r="L99" s="187">
        <f>'Model Inputs'!L17</f>
        <v>0</v>
      </c>
      <c r="M99" s="188">
        <f>'Model Inputs'!M17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2293522.0105000003</v>
      </c>
      <c r="H107" s="29">
        <f t="shared" ref="H107:K107" si="4">H89</f>
        <v>2540569.81</v>
      </c>
      <c r="I107" s="29">
        <f>I89</f>
        <v>2869730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Inputs'!H23</f>
        <v>6.0299999999999999E-2</v>
      </c>
      <c r="I110" s="202">
        <f>'Model Inputs'!I23</f>
        <v>5.67E-2</v>
      </c>
      <c r="J110" s="202">
        <f>'Model Inputs'!J23</f>
        <v>0</v>
      </c>
      <c r="K110" s="202">
        <f>'Model Inputs'!K23</f>
        <v>0</v>
      </c>
      <c r="L110" s="202">
        <f>'Model Inputs'!L23</f>
        <v>0</v>
      </c>
      <c r="M110" s="203">
        <f>'Model Inputs'!M23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Inputs'!H22)</f>
        <v>165.70687961774755</v>
      </c>
      <c r="I112" s="205">
        <f>H112*EXP('Model Inputs'!I22)</f>
        <v>168.33656781093197</v>
      </c>
      <c r="J112" s="205">
        <f>I112*EXP('Model Inputs'!J22)</f>
        <v>168.33656781093197</v>
      </c>
      <c r="K112" s="205">
        <f>J112*EXP('Model Inputs'!K22)</f>
        <v>168.33656781093197</v>
      </c>
      <c r="L112" s="205">
        <f>K112*EXP('Model Inputs'!L22)</f>
        <v>168.33656781093197</v>
      </c>
      <c r="M112" s="206">
        <f>L112*EXP('Model Inputs'!M22)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17.441977539130455</v>
      </c>
      <c r="I113" s="29">
        <f t="shared" si="7"/>
        <v>17.122228536848063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424755</v>
      </c>
      <c r="H114" s="207">
        <f>H92</f>
        <v>962243</v>
      </c>
      <c r="I114" s="208">
        <f t="shared" ref="I114:L114" si="8">I92</f>
        <v>827500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2603.9694780148052</v>
      </c>
      <c r="H116" s="8">
        <f t="shared" ref="H116:K116" si="12">(H114-H115)/H112</f>
        <v>5806.8983147815052</v>
      </c>
      <c r="I116" s="8">
        <f>(I114-I115)/I112</f>
        <v>4915.7471294615598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3623.7430079913361</v>
      </c>
      <c r="H117" s="25">
        <f>H111*G118</f>
        <v>3576.9354029654132</v>
      </c>
      <c r="I117" s="25">
        <f>I111*H118</f>
        <v>3679.2907006177711</v>
      </c>
      <c r="J117" s="25">
        <f t="shared" ref="J117:M117" si="14">J111*I118</f>
        <v>3736.0440507017011</v>
      </c>
      <c r="K117" s="25">
        <f t="shared" si="14"/>
        <v>3564.5596287744925</v>
      </c>
      <c r="L117" s="25">
        <f t="shared" si="14"/>
        <v>3400.9463418137429</v>
      </c>
      <c r="M117" s="25">
        <f t="shared" si="14"/>
        <v>3244.8429047244922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77928.875881599408</v>
      </c>
      <c r="H118" s="25">
        <f>G118+H116-H117</f>
        <v>80158.838793415489</v>
      </c>
      <c r="I118" s="25">
        <f>H118+I116-I117</f>
        <v>81395.295222259272</v>
      </c>
      <c r="J118" s="25">
        <f t="shared" ref="J118:M118" si="15">I118+J116-J117</f>
        <v>77659.251171557567</v>
      </c>
      <c r="K118" s="25">
        <f t="shared" si="15"/>
        <v>74094.691542783068</v>
      </c>
      <c r="L118" s="25">
        <f t="shared" si="15"/>
        <v>70693.745200969322</v>
      </c>
      <c r="M118" s="25">
        <f t="shared" si="15"/>
        <v>67448.902296244836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1397136.8123852497</v>
      </c>
      <c r="H119" s="25">
        <f t="shared" ref="H119:K119" si="16">H113*H118</f>
        <v>1398128.6657975321</v>
      </c>
      <c r="I119" s="25">
        <f>I113*I118</f>
        <v>1393668.8466197406</v>
      </c>
      <c r="J119" s="25">
        <f t="shared" si="16"/>
        <v>600045.73366530787</v>
      </c>
      <c r="K119" s="25">
        <f t="shared" si="16"/>
        <v>572503.63449007017</v>
      </c>
      <c r="L119" s="25">
        <f t="shared" ref="L119:M119" si="17">L113*L118</f>
        <v>546225.71766697592</v>
      </c>
      <c r="M119" s="25">
        <f t="shared" si="17"/>
        <v>521153.95722606179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3690658.8228852497</v>
      </c>
      <c r="H121" s="25">
        <f>H107+H119</f>
        <v>3938698.4757975321</v>
      </c>
      <c r="I121" s="25">
        <f>I107+I119</f>
        <v>4263398.8466197401</v>
      </c>
      <c r="J121" s="25">
        <f t="shared" ref="J121:K121" si="18">J107+J119</f>
        <v>600045.73366530787</v>
      </c>
      <c r="K121" s="25">
        <f t="shared" si="18"/>
        <v>572503.63449007017</v>
      </c>
      <c r="L121" s="25">
        <f t="shared" ref="L121:M121" si="19">L107+L119</f>
        <v>546225.71766697592</v>
      </c>
      <c r="M121" s="25">
        <f t="shared" si="19"/>
        <v>521153.95722606179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6075</v>
      </c>
      <c r="H128" s="8">
        <f t="shared" ref="H128:K130" si="20">H96</f>
        <v>6074</v>
      </c>
      <c r="I128" s="8">
        <f t="shared" si="20"/>
        <v>6071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120944395</v>
      </c>
      <c r="H129" s="39">
        <f t="shared" si="20"/>
        <v>124919501</v>
      </c>
      <c r="I129" s="39">
        <f t="shared" si="20"/>
        <v>123307945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23679</v>
      </c>
      <c r="H130" s="8">
        <f t="shared" si="20"/>
        <v>23252</v>
      </c>
      <c r="I130" s="8">
        <f t="shared" si="20"/>
        <v>23250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26895</v>
      </c>
      <c r="H131" s="8">
        <f t="shared" ref="H131:M131" si="24">MAX(G131,H130)</f>
        <v>26895</v>
      </c>
      <c r="I131" s="8">
        <f t="shared" si="24"/>
        <v>26895</v>
      </c>
      <c r="J131" s="8">
        <f t="shared" si="24"/>
        <v>26895</v>
      </c>
      <c r="K131" s="8">
        <f t="shared" si="24"/>
        <v>26895</v>
      </c>
      <c r="L131" s="8">
        <f t="shared" si="24"/>
        <v>26895</v>
      </c>
      <c r="M131" s="8">
        <f t="shared" si="24"/>
        <v>26895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Inputs'!H22)</f>
        <v>117.0535651311439</v>
      </c>
      <c r="I134" s="214">
        <f>H134*EXP('Model Inputs'!I22)</f>
        <v>118.91114870827467</v>
      </c>
      <c r="J134" s="214">
        <f>I134*EXP('Model Inputs'!J22)</f>
        <v>118.91114870827467</v>
      </c>
      <c r="K134" s="214">
        <f>J134*EXP('Model Inputs'!K22)</f>
        <v>118.91114870827467</v>
      </c>
      <c r="L134" s="214">
        <f>K134*EXP('Model Inputs'!L22)</f>
        <v>118.91114870827467</v>
      </c>
      <c r="M134" s="215">
        <f>L134*EXP('Model Inputs'!M22)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Inputs'!H21)</f>
        <v>987.73290943774236</v>
      </c>
      <c r="I135" s="217">
        <f>H135*EXP('Model Inputs'!I21)</f>
        <v>1013.3851655047079</v>
      </c>
      <c r="J135" s="217">
        <f>I135*EXP('Model Inputs'!J21)</f>
        <v>1013.3851655047079</v>
      </c>
      <c r="K135" s="217">
        <f>J135*EXP('Model Inputs'!K21)</f>
        <v>1013.3851655047079</v>
      </c>
      <c r="L135" s="217">
        <f>K135*EXP('Model Inputs'!L21)</f>
        <v>1013.3851655047079</v>
      </c>
      <c r="M135" s="218">
        <f>L135*EXP('Model Inputs'!M21)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124.57550597437343</v>
      </c>
      <c r="H137" s="29">
        <f t="shared" ref="H137:M137" si="26">G137*EXP(H136)</f>
        <v>127.43201532585269</v>
      </c>
      <c r="I137" s="29">
        <f t="shared" si="26"/>
        <v>130.35402427623998</v>
      </c>
      <c r="J137" s="29">
        <f t="shared" si="26"/>
        <v>130.35402427623998</v>
      </c>
      <c r="K137" s="29">
        <f t="shared" si="26"/>
        <v>130.35402427623998</v>
      </c>
      <c r="L137" s="29">
        <f t="shared" si="26"/>
        <v>130.35402427623998</v>
      </c>
      <c r="M137" s="29">
        <f t="shared" si="26"/>
        <v>130.35402427623998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17.441977539130455</v>
      </c>
      <c r="I139" s="29">
        <f t="shared" si="27"/>
        <v>17.122228536848063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370</v>
      </c>
      <c r="H142" s="42">
        <f>'Model Inputs'!H17</f>
        <v>370</v>
      </c>
      <c r="I142" s="42">
        <f>'Model Inputs'!I17</f>
        <v>370</v>
      </c>
      <c r="J142" s="42">
        <f>'Model Inputs'!J17</f>
        <v>0</v>
      </c>
      <c r="K142" s="42">
        <f>'Model Inputs'!K17</f>
        <v>0</v>
      </c>
      <c r="L142" s="42">
        <f>'Model Inputs'!L17</f>
        <v>0</v>
      </c>
      <c r="M142" s="42">
        <f>'Model Inputs'!M17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370</v>
      </c>
      <c r="H143" s="41">
        <f>(G143*14+H142)/15</f>
        <v>370</v>
      </c>
      <c r="I143" s="41">
        <f>(H143*15+I142)/16</f>
        <v>370</v>
      </c>
      <c r="J143" s="41">
        <f>(I143*16+J142)/17</f>
        <v>348.23529411764707</v>
      </c>
      <c r="K143" s="41">
        <f>(J143*17+K142)/18</f>
        <v>328.88888888888891</v>
      </c>
      <c r="L143" s="41">
        <f>(K143*17+L142)/18</f>
        <v>310.61728395061732</v>
      </c>
      <c r="M143" s="41">
        <f>(L143*17+M142)/18</f>
        <v>293.36076817558302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6202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-2.0477265398258625E-2</v>
      </c>
      <c r="H145" s="30">
        <f>'Model Inputs'!H18</f>
        <v>-9.9429502852486085E-3</v>
      </c>
      <c r="I145" s="30">
        <f>'Model Inputs'!I18</f>
        <v>-6.7081151832460995E-3</v>
      </c>
      <c r="J145" s="30">
        <f>'Model Inputs'!J18</f>
        <v>0</v>
      </c>
      <c r="K145" s="30">
        <f>'Model Inputs'!K18</f>
        <v>0</v>
      </c>
      <c r="L145" s="30">
        <f>'Model Inputs'!L18</f>
        <v>0</v>
      </c>
      <c r="M145" s="30">
        <f>'Model Inputs'!M18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0.14391559726597888</v>
      </c>
      <c r="H152" s="44">
        <f t="shared" ref="H152:K152" si="31">H113/H137</f>
        <v>0.13687280621380807</v>
      </c>
      <c r="I152" s="44">
        <f t="shared" si="31"/>
        <v>0.13135174484957562</v>
      </c>
      <c r="J152" s="44">
        <f t="shared" si="31"/>
        <v>5.9274337753837475E-2</v>
      </c>
      <c r="K152" s="44">
        <f t="shared" si="31"/>
        <v>5.9274337753837475E-2</v>
      </c>
      <c r="L152" s="44">
        <f t="shared" ref="L152:M152" si="32">L113/L137</f>
        <v>5.9274337753837475E-2</v>
      </c>
      <c r="M152" s="44">
        <f t="shared" si="32"/>
        <v>5.9274337753837475E-2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6075</v>
      </c>
      <c r="H153" s="25">
        <f t="shared" ref="H153:K153" si="33">H96</f>
        <v>6074</v>
      </c>
      <c r="I153" s="25">
        <f t="shared" si="33"/>
        <v>6071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26895</v>
      </c>
      <c r="H154" s="25">
        <f t="shared" ref="H154:K154" si="35">H131</f>
        <v>26895</v>
      </c>
      <c r="I154" s="25">
        <f t="shared" si="35"/>
        <v>26895</v>
      </c>
      <c r="J154" s="25">
        <f t="shared" si="35"/>
        <v>26895</v>
      </c>
      <c r="K154" s="25">
        <f t="shared" si="35"/>
        <v>26895</v>
      </c>
      <c r="L154" s="25">
        <f t="shared" ref="L154:M154" si="36">L131</f>
        <v>26895</v>
      </c>
      <c r="M154" s="25">
        <f t="shared" si="36"/>
        <v>26895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120944395</v>
      </c>
      <c r="H155" s="39">
        <f t="shared" ref="H155:K155" si="37">H97</f>
        <v>124919501</v>
      </c>
      <c r="I155" s="39">
        <f t="shared" si="37"/>
        <v>123307945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370</v>
      </c>
      <c r="H156" s="45">
        <f t="shared" ref="H156:K156" si="39">H143</f>
        <v>370</v>
      </c>
      <c r="I156" s="45">
        <f t="shared" si="39"/>
        <v>370</v>
      </c>
      <c r="J156" s="45">
        <f t="shared" si="39"/>
        <v>348.23529411764707</v>
      </c>
      <c r="K156" s="45">
        <f t="shared" si="39"/>
        <v>328.88888888888891</v>
      </c>
      <c r="L156" s="45">
        <f t="shared" ref="L156:M156" si="40">L143</f>
        <v>310.61728395061732</v>
      </c>
      <c r="M156" s="45">
        <f t="shared" si="40"/>
        <v>293.36076817558302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-2.0477265398258625E-2</v>
      </c>
      <c r="H157" s="31">
        <f t="shared" ref="H157:L157" si="41">H145</f>
        <v>-9.9429502852486085E-3</v>
      </c>
      <c r="I157" s="31">
        <f t="shared" si="41"/>
        <v>-6.7081151832460995E-3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12.831090199996751</v>
      </c>
      <c r="H162" s="49">
        <f t="shared" ref="H162:M179" si="45">G162</f>
        <v>12.831090199996751</v>
      </c>
      <c r="I162" s="49">
        <f t="shared" si="45"/>
        <v>12.831090199996751</v>
      </c>
      <c r="J162" s="49">
        <f t="shared" si="45"/>
        <v>12.831090199996751</v>
      </c>
      <c r="K162" s="49">
        <f t="shared" si="45"/>
        <v>12.831090199996751</v>
      </c>
      <c r="L162" s="49">
        <f t="shared" si="45"/>
        <v>12.831090199996751</v>
      </c>
      <c r="M162" s="49">
        <f t="shared" si="45"/>
        <v>12.831090199996751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0.62680751453324146</v>
      </c>
      <c r="H163" s="49">
        <f t="shared" si="45"/>
        <v>0.62680751453324146</v>
      </c>
      <c r="I163" s="49">
        <f t="shared" si="45"/>
        <v>0.62680751453324146</v>
      </c>
      <c r="J163" s="49">
        <f t="shared" si="45"/>
        <v>0.62680751453324146</v>
      </c>
      <c r="K163" s="49">
        <f t="shared" si="45"/>
        <v>0.62680751453324146</v>
      </c>
      <c r="L163" s="49">
        <f t="shared" si="45"/>
        <v>0.62680751453324146</v>
      </c>
      <c r="M163" s="49">
        <f t="shared" si="45"/>
        <v>0.62680751453324146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0.42476869962767549</v>
      </c>
      <c r="H164" s="49">
        <f t="shared" si="45"/>
        <v>0.42476869962767549</v>
      </c>
      <c r="I164" s="49">
        <f t="shared" si="45"/>
        <v>0.42476869962767549</v>
      </c>
      <c r="J164" s="49">
        <f t="shared" si="45"/>
        <v>0.42476869962767549</v>
      </c>
      <c r="K164" s="49">
        <f t="shared" si="45"/>
        <v>0.42476869962767549</v>
      </c>
      <c r="L164" s="49">
        <f t="shared" si="45"/>
        <v>0.42476869962767549</v>
      </c>
      <c r="M164" s="49">
        <f t="shared" si="45"/>
        <v>0.42476869962767549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0.14776809242987449</v>
      </c>
      <c r="H165" s="49">
        <f>G165</f>
        <v>0.14776809242987449</v>
      </c>
      <c r="I165" s="49">
        <f t="shared" si="45"/>
        <v>0.14776809242987449</v>
      </c>
      <c r="J165" s="49">
        <f t="shared" si="45"/>
        <v>0.14776809242987449</v>
      </c>
      <c r="K165" s="49">
        <f t="shared" si="45"/>
        <v>0.14776809242987449</v>
      </c>
      <c r="L165" s="49">
        <f t="shared" si="45"/>
        <v>0.14776809242987449</v>
      </c>
      <c r="M165" s="49">
        <f t="shared" si="45"/>
        <v>0.14776809242987449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0.11598211536671865</v>
      </c>
      <c r="H166" s="49">
        <f t="shared" si="45"/>
        <v>0.11598211536671865</v>
      </c>
      <c r="I166" s="49">
        <f t="shared" si="45"/>
        <v>0.11598211536671865</v>
      </c>
      <c r="J166" s="49">
        <f t="shared" si="45"/>
        <v>0.11598211536671865</v>
      </c>
      <c r="K166" s="49">
        <f t="shared" si="45"/>
        <v>0.11598211536671865</v>
      </c>
      <c r="L166" s="49">
        <f t="shared" si="45"/>
        <v>0.11598211536671865</v>
      </c>
      <c r="M166" s="49">
        <f t="shared" si="45"/>
        <v>0.11598211536671865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0.111167860155029</v>
      </c>
      <c r="H167" s="49">
        <f t="shared" si="45"/>
        <v>0.111167860155029</v>
      </c>
      <c r="I167" s="49">
        <f t="shared" si="45"/>
        <v>0.111167860155029</v>
      </c>
      <c r="J167" s="49">
        <f t="shared" si="45"/>
        <v>0.111167860155029</v>
      </c>
      <c r="K167" s="49">
        <f t="shared" si="45"/>
        <v>0.111167860155029</v>
      </c>
      <c r="L167" s="49">
        <f t="shared" si="45"/>
        <v>0.111167860155029</v>
      </c>
      <c r="M167" s="49">
        <f t="shared" si="45"/>
        <v>0.111167860155029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-0.51829590350545818</v>
      </c>
      <c r="H168" s="49">
        <f t="shared" si="45"/>
        <v>-0.51829590350545818</v>
      </c>
      <c r="I168" s="49">
        <f t="shared" si="45"/>
        <v>-0.51829590350545818</v>
      </c>
      <c r="J168" s="49">
        <f t="shared" si="45"/>
        <v>-0.51829590350545818</v>
      </c>
      <c r="K168" s="49">
        <f t="shared" si="45"/>
        <v>-0.51829590350545818</v>
      </c>
      <c r="L168" s="49">
        <f t="shared" si="45"/>
        <v>-0.51829590350545818</v>
      </c>
      <c r="M168" s="49">
        <f t="shared" si="45"/>
        <v>-0.51829590350545818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0.16659946607288456</v>
      </c>
      <c r="H169" s="49">
        <f t="shared" si="45"/>
        <v>0.16659946607288456</v>
      </c>
      <c r="I169" s="49">
        <f t="shared" si="45"/>
        <v>0.16659946607288456</v>
      </c>
      <c r="J169" s="49">
        <f t="shared" si="45"/>
        <v>0.16659946607288456</v>
      </c>
      <c r="K169" s="49">
        <f t="shared" si="45"/>
        <v>0.16659946607288456</v>
      </c>
      <c r="L169" s="49">
        <f t="shared" si="45"/>
        <v>0.16659946607288456</v>
      </c>
      <c r="M169" s="49">
        <f t="shared" si="45"/>
        <v>0.16659946607288456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0.17821555056517674</v>
      </c>
      <c r="H170" s="49">
        <f t="shared" si="45"/>
        <v>0.17821555056517674</v>
      </c>
      <c r="I170" s="49">
        <f t="shared" si="45"/>
        <v>0.17821555056517674</v>
      </c>
      <c r="J170" s="49">
        <f t="shared" si="45"/>
        <v>0.17821555056517674</v>
      </c>
      <c r="K170" s="49">
        <f t="shared" si="45"/>
        <v>0.17821555056517674</v>
      </c>
      <c r="L170" s="49">
        <f t="shared" si="45"/>
        <v>0.17821555056517674</v>
      </c>
      <c r="M170" s="49">
        <f t="shared" si="45"/>
        <v>0.17821555056517674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5.4392669295586948E-2</v>
      </c>
      <c r="H171" s="49">
        <f t="shared" si="45"/>
        <v>5.4392669295586948E-2</v>
      </c>
      <c r="I171" s="49">
        <f t="shared" si="45"/>
        <v>5.4392669295586948E-2</v>
      </c>
      <c r="J171" s="49">
        <f t="shared" si="45"/>
        <v>5.4392669295586948E-2</v>
      </c>
      <c r="K171" s="49">
        <f t="shared" si="45"/>
        <v>5.4392669295586948E-2</v>
      </c>
      <c r="L171" s="49">
        <f t="shared" si="45"/>
        <v>5.4392669295586948E-2</v>
      </c>
      <c r="M171" s="49">
        <f t="shared" si="45"/>
        <v>5.4392669295586948E-2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6.4690505508058771E-3</v>
      </c>
      <c r="H172" s="49">
        <f t="shared" si="45"/>
        <v>6.4690505508058771E-3</v>
      </c>
      <c r="I172" s="49">
        <f t="shared" si="45"/>
        <v>6.4690505508058771E-3</v>
      </c>
      <c r="J172" s="49">
        <f t="shared" si="45"/>
        <v>6.4690505508058771E-3</v>
      </c>
      <c r="K172" s="49">
        <f t="shared" si="45"/>
        <v>6.4690505508058771E-3</v>
      </c>
      <c r="L172" s="49">
        <f t="shared" si="45"/>
        <v>6.4690505508058771E-3</v>
      </c>
      <c r="M172" s="49">
        <f t="shared" si="45"/>
        <v>6.4690505508058771E-3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-1.4618171876717989E-4</v>
      </c>
      <c r="H173" s="49">
        <f t="shared" si="45"/>
        <v>-1.4618171876717989E-4</v>
      </c>
      <c r="I173" s="49">
        <f t="shared" si="45"/>
        <v>-1.4618171876717989E-4</v>
      </c>
      <c r="J173" s="49">
        <f t="shared" si="45"/>
        <v>-1.4618171876717989E-4</v>
      </c>
      <c r="K173" s="49">
        <f t="shared" si="45"/>
        <v>-1.4618171876717989E-4</v>
      </c>
      <c r="L173" s="49">
        <f t="shared" si="45"/>
        <v>-1.4618171876717989E-4</v>
      </c>
      <c r="M173" s="49">
        <f t="shared" si="45"/>
        <v>-1.4618171876717989E-4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0.2326447049863789</v>
      </c>
      <c r="H174" s="49">
        <f t="shared" si="45"/>
        <v>0.2326447049863789</v>
      </c>
      <c r="I174" s="49">
        <f t="shared" si="45"/>
        <v>0.2326447049863789</v>
      </c>
      <c r="J174" s="49">
        <f t="shared" si="45"/>
        <v>0.2326447049863789</v>
      </c>
      <c r="K174" s="49">
        <f t="shared" si="45"/>
        <v>0.2326447049863789</v>
      </c>
      <c r="L174" s="49">
        <f t="shared" si="45"/>
        <v>0.2326447049863789</v>
      </c>
      <c r="M174" s="49">
        <f t="shared" si="45"/>
        <v>0.2326447049863789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0.10871200396356162</v>
      </c>
      <c r="H175" s="49">
        <f t="shared" si="45"/>
        <v>0.10871200396356162</v>
      </c>
      <c r="I175" s="49">
        <f t="shared" si="45"/>
        <v>0.10871200396356162</v>
      </c>
      <c r="J175" s="49">
        <f t="shared" si="45"/>
        <v>0.10871200396356162</v>
      </c>
      <c r="K175" s="49">
        <f t="shared" si="45"/>
        <v>0.10871200396356162</v>
      </c>
      <c r="L175" s="49">
        <f t="shared" si="45"/>
        <v>0.10871200396356162</v>
      </c>
      <c r="M175" s="49">
        <f t="shared" si="45"/>
        <v>0.10871200396356162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-0.25473357491781701</v>
      </c>
      <c r="H176" s="49">
        <f t="shared" si="45"/>
        <v>-0.25473357491781701</v>
      </c>
      <c r="I176" s="49">
        <f t="shared" si="45"/>
        <v>-0.25473357491781701</v>
      </c>
      <c r="J176" s="49">
        <f t="shared" si="45"/>
        <v>-0.25473357491781701</v>
      </c>
      <c r="K176" s="49">
        <f t="shared" si="45"/>
        <v>-0.25473357491781701</v>
      </c>
      <c r="L176" s="49">
        <f t="shared" si="45"/>
        <v>-0.25473357491781701</v>
      </c>
      <c r="M176" s="49">
        <f t="shared" si="45"/>
        <v>-0.25473357491781701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0.30806351907524121</v>
      </c>
      <c r="H177" s="49">
        <f t="shared" si="45"/>
        <v>0.30806351907524121</v>
      </c>
      <c r="I177" s="49">
        <f t="shared" si="45"/>
        <v>0.30806351907524121</v>
      </c>
      <c r="J177" s="49">
        <f t="shared" si="45"/>
        <v>0.30806351907524121</v>
      </c>
      <c r="K177" s="49">
        <f t="shared" si="45"/>
        <v>0.30806351907524121</v>
      </c>
      <c r="L177" s="49">
        <f t="shared" si="45"/>
        <v>0.30806351907524121</v>
      </c>
      <c r="M177" s="49">
        <f t="shared" si="45"/>
        <v>0.30806351907524121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1.3387604712142648E-2</v>
      </c>
      <c r="H178" s="49">
        <f t="shared" si="45"/>
        <v>1.3387604712142648E-2</v>
      </c>
      <c r="I178" s="49">
        <f t="shared" si="45"/>
        <v>1.3387604712142648E-2</v>
      </c>
      <c r="J178" s="49">
        <f t="shared" si="45"/>
        <v>1.3387604712142648E-2</v>
      </c>
      <c r="K178" s="49">
        <f t="shared" si="45"/>
        <v>1.3387604712142648E-2</v>
      </c>
      <c r="L178" s="49">
        <f t="shared" si="45"/>
        <v>1.3387604712142648E-2</v>
      </c>
      <c r="M178" s="49">
        <f t="shared" si="45"/>
        <v>1.3387604712142648E-2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1.7635386805908114E-2</v>
      </c>
      <c r="H179" s="49">
        <f t="shared" si="45"/>
        <v>1.7635386805908114E-2</v>
      </c>
      <c r="I179" s="49">
        <f t="shared" si="45"/>
        <v>1.7635386805908114E-2</v>
      </c>
      <c r="J179" s="49">
        <f t="shared" si="45"/>
        <v>1.7635386805908114E-2</v>
      </c>
      <c r="K179" s="49">
        <f t="shared" si="45"/>
        <v>1.7635386805908114E-2</v>
      </c>
      <c r="L179" s="49">
        <f t="shared" si="45"/>
        <v>1.7635386805908114E-2</v>
      </c>
      <c r="M179" s="49">
        <f t="shared" si="45"/>
        <v>1.7635386805908114E-2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-0.13307548498484409</v>
      </c>
      <c r="H206" s="48">
        <f t="shared" ref="H206:K209" si="49">LN(H152/H184)</f>
        <v>-0.18325040984143479</v>
      </c>
      <c r="I206" s="48">
        <f t="shared" si="49"/>
        <v>-0.22442368260787768</v>
      </c>
      <c r="J206" s="48">
        <f t="shared" si="49"/>
        <v>-1.0201260231693365</v>
      </c>
      <c r="K206" s="48">
        <f t="shared" si="49"/>
        <v>-1.0201260231693365</v>
      </c>
      <c r="L206" s="48">
        <f t="shared" ref="L206:M206" si="50">LN(L152/L184)</f>
        <v>-1.0201260231693365</v>
      </c>
      <c r="M206" s="48">
        <f t="shared" si="50"/>
        <v>-1.0201260231693365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-2.3456337314424967</v>
      </c>
      <c r="H207" s="48">
        <f t="shared" si="49"/>
        <v>-2.3457983540455514</v>
      </c>
      <c r="I207" s="48">
        <f t="shared" si="49"/>
        <v>-2.3462923845208117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-2.5519779067645927</v>
      </c>
      <c r="H208" s="48">
        <f t="shared" si="49"/>
        <v>-2.5519779067645927</v>
      </c>
      <c r="I208" s="48">
        <f t="shared" si="49"/>
        <v>-2.5519779067645927</v>
      </c>
      <c r="J208" s="48">
        <f t="shared" si="49"/>
        <v>-2.5519779067645927</v>
      </c>
      <c r="K208" s="48">
        <f t="shared" si="49"/>
        <v>-2.5519779067645927</v>
      </c>
      <c r="L208" s="48">
        <f t="shared" ref="L208:M208" si="52">LN(L154/L186)</f>
        <v>-2.5519779067645927</v>
      </c>
      <c r="M208" s="48">
        <f t="shared" si="52"/>
        <v>-2.5519779067645927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-2.6012056023909995</v>
      </c>
      <c r="H209" s="48">
        <f t="shared" si="49"/>
        <v>-2.5688669590594393</v>
      </c>
      <c r="I209" s="48">
        <f t="shared" si="49"/>
        <v>-2.5818516524813111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8.8545423519757315E-3</v>
      </c>
      <c r="H210" s="48">
        <f t="shared" ref="H210:K213" si="54">H206*H206/2</f>
        <v>1.6790356353526908E-2</v>
      </c>
      <c r="I210" s="48">
        <f t="shared" si="54"/>
        <v>2.5182994657640709E-2</v>
      </c>
      <c r="J210" s="48">
        <f t="shared" si="54"/>
        <v>0.52032855157364288</v>
      </c>
      <c r="K210" s="48">
        <f t="shared" si="54"/>
        <v>0.52032855157364288</v>
      </c>
      <c r="L210" s="48">
        <f t="shared" ref="L210:M210" si="55">L206*L206/2</f>
        <v>0.52032855157364288</v>
      </c>
      <c r="M210" s="48">
        <f t="shared" si="55"/>
        <v>0.52032855157364288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2.7509988010404252</v>
      </c>
      <c r="H211" s="48">
        <f t="shared" si="54"/>
        <v>2.7513849589214088</v>
      </c>
      <c r="I211" s="48">
        <f t="shared" si="54"/>
        <v>2.7525439768301783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3.2562956183072962</v>
      </c>
      <c r="H212" s="48">
        <f t="shared" si="54"/>
        <v>3.2562956183072962</v>
      </c>
      <c r="I212" s="48">
        <f t="shared" si="54"/>
        <v>3.2562956183072962</v>
      </c>
      <c r="J212" s="48">
        <f t="shared" si="54"/>
        <v>3.2562956183072962</v>
      </c>
      <c r="K212" s="48">
        <f t="shared" si="54"/>
        <v>3.2562956183072962</v>
      </c>
      <c r="L212" s="48">
        <f t="shared" ref="L212:M212" si="57">L208*L208/2</f>
        <v>3.2562956183072962</v>
      </c>
      <c r="M212" s="48">
        <f t="shared" si="57"/>
        <v>3.2562956183072962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3.3831352929551612</v>
      </c>
      <c r="H213" s="48">
        <f t="shared" si="54"/>
        <v>3.2995387266736453</v>
      </c>
      <c r="I213" s="48">
        <f t="shared" si="54"/>
        <v>3.3329789777102383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0.31214634640851979</v>
      </c>
      <c r="H214" s="48">
        <f t="shared" ref="H214:K214" si="59">H206*H207</f>
        <v>0.42986850978421043</v>
      </c>
      <c r="I214" s="48">
        <f t="shared" si="59"/>
        <v>0.52656357740897908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0.33960569761330539</v>
      </c>
      <c r="H215" s="48">
        <f t="shared" ref="H215:K215" si="61">H206*H208</f>
        <v>0.46765099732089849</v>
      </c>
      <c r="I215" s="48">
        <f t="shared" si="61"/>
        <v>0.57272427977005302</v>
      </c>
      <c r="J215" s="48">
        <f t="shared" si="61"/>
        <v>2.603339073243772</v>
      </c>
      <c r="K215" s="48">
        <f t="shared" si="61"/>
        <v>2.603339073243772</v>
      </c>
      <c r="L215" s="48">
        <f t="shared" ref="L215:M215" si="62">L206*L208</f>
        <v>2.603339073243772</v>
      </c>
      <c r="M215" s="48">
        <f t="shared" si="62"/>
        <v>2.603339073243772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0.3461566970834758</v>
      </c>
      <c r="H216" s="48">
        <f t="shared" ref="H216:K216" si="63">H206*H209</f>
        <v>0.47074592307576252</v>
      </c>
      <c r="I216" s="48">
        <f t="shared" si="63"/>
        <v>0.57942865579709024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5.9860054600030432</v>
      </c>
      <c r="H217" s="48">
        <f t="shared" ref="H217:K217" si="65">H207*H208</f>
        <v>5.9864255732489928</v>
      </c>
      <c r="I217" s="48">
        <f t="shared" si="65"/>
        <v>5.9876863281071255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6.1014756033855271</v>
      </c>
      <c r="H218" s="48">
        <f t="shared" ref="H218:K218" si="67">H207*H209</f>
        <v>6.0260438843236335</v>
      </c>
      <c r="I218" s="48">
        <f t="shared" si="67"/>
        <v>6.0577788701793738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6.6382192282541146</v>
      </c>
      <c r="H219" s="48">
        <f t="shared" ref="H219:K219" si="69">H208*H209</f>
        <v>6.5556917249372324</v>
      </c>
      <c r="I219" s="48">
        <f t="shared" si="69"/>
        <v>6.5888283756759609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-1.9959123013972808</v>
      </c>
      <c r="H220" s="48">
        <f t="shared" ref="H220:K220" si="71">LN(H156/H198)</f>
        <v>-1.9959123013972808</v>
      </c>
      <c r="I220" s="48">
        <f t="shared" si="71"/>
        <v>-1.9959123013972808</v>
      </c>
      <c r="J220" s="48">
        <f t="shared" si="71"/>
        <v>-2.0565369232137156</v>
      </c>
      <c r="K220" s="48">
        <f t="shared" si="71"/>
        <v>-2.113695337053664</v>
      </c>
      <c r="L220" s="48">
        <f t="shared" ref="L220:M220" si="72">LN(L156/L198)</f>
        <v>-2.1708537508936128</v>
      </c>
      <c r="M220" s="48">
        <f t="shared" si="72"/>
        <v>-2.2280121647335616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-0.15923223482316196</v>
      </c>
      <c r="H221" s="31">
        <f t="shared" ref="H221:K221" si="73">H157/H199</f>
        <v>-7.731687624610116E-2</v>
      </c>
      <c r="I221" s="31">
        <f t="shared" si="73"/>
        <v>-5.2162637505801711E-2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12.831090199996751</v>
      </c>
      <c r="H226" s="50">
        <f t="shared" ref="H226:K241" si="78">H162*H205</f>
        <v>12.831090199996751</v>
      </c>
      <c r="I226" s="50">
        <f t="shared" si="78"/>
        <v>12.831090199996751</v>
      </c>
      <c r="J226" s="50">
        <f t="shared" si="78"/>
        <v>12.831090199996751</v>
      </c>
      <c r="K226" s="50">
        <f t="shared" si="78"/>
        <v>12.831090199996751</v>
      </c>
      <c r="L226" s="50">
        <f t="shared" ref="L226:M226" si="79">L162*L205</f>
        <v>12.831090199996751</v>
      </c>
      <c r="M226" s="50">
        <f t="shared" si="79"/>
        <v>12.831090199996751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-8.3412713988655823E-2</v>
      </c>
      <c r="H227" s="50">
        <f t="shared" si="78"/>
        <v>-0.11486273392990759</v>
      </c>
      <c r="I227" s="50">
        <f t="shared" si="78"/>
        <v>-0.14067045069784084</v>
      </c>
      <c r="J227" s="50">
        <f t="shared" si="78"/>
        <v>-0.6394226570934517</v>
      </c>
      <c r="K227" s="50">
        <f t="shared" si="78"/>
        <v>-0.6394226570934517</v>
      </c>
      <c r="L227" s="50">
        <f t="shared" ref="L227:M227" si="80">L163*L206</f>
        <v>-0.6394226570934517</v>
      </c>
      <c r="M227" s="50">
        <f t="shared" si="80"/>
        <v>-0.6394226570934517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-0.99635178990764151</v>
      </c>
      <c r="H228" s="50">
        <f t="shared" si="78"/>
        <v>-0.99642171643667043</v>
      </c>
      <c r="I228" s="50">
        <f t="shared" si="78"/>
        <v>-0.99663156511922313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-0.37710090720578793</v>
      </c>
      <c r="H229" s="50">
        <f t="shared" si="78"/>
        <v>-0.37710090720578793</v>
      </c>
      <c r="I229" s="50">
        <f t="shared" si="78"/>
        <v>-0.37710090720578793</v>
      </c>
      <c r="J229" s="50">
        <f t="shared" si="78"/>
        <v>-0.37710090720578793</v>
      </c>
      <c r="K229" s="50">
        <f t="shared" si="78"/>
        <v>-0.37710090720578793</v>
      </c>
      <c r="L229" s="50">
        <f t="shared" ref="L229:M229" si="82">L165*L208</f>
        <v>-0.37710090720578793</v>
      </c>
      <c r="M229" s="50">
        <f t="shared" si="82"/>
        <v>-0.37710090720578793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-0.30169332826906781</v>
      </c>
      <c r="H230" s="50">
        <f t="shared" si="78"/>
        <v>-0.29794262400738358</v>
      </c>
      <c r="I230" s="50">
        <f t="shared" si="78"/>
        <v>-0.29944861621784064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9.8434052592121977E-4</v>
      </c>
      <c r="H231" s="50">
        <f t="shared" si="78"/>
        <v>1.8665479870619819E-3</v>
      </c>
      <c r="I231" s="50">
        <f t="shared" si="78"/>
        <v>2.7995396283854446E-3</v>
      </c>
      <c r="J231" s="50">
        <f t="shared" si="78"/>
        <v>5.7843811656007528E-2</v>
      </c>
      <c r="K231" s="50">
        <f t="shared" si="78"/>
        <v>5.7843811656007528E-2</v>
      </c>
      <c r="L231" s="50">
        <f t="shared" ref="L231:M231" si="84">L167*L210</f>
        <v>5.7843811656007528E-2</v>
      </c>
      <c r="M231" s="50">
        <f t="shared" si="84"/>
        <v>5.7843811656007528E-2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-1.4258314091276794</v>
      </c>
      <c r="H232" s="50">
        <f t="shared" si="78"/>
        <v>-1.4260315531754995</v>
      </c>
      <c r="I232" s="50">
        <f t="shared" si="78"/>
        <v>-1.4266322674097043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0.54249711138546908</v>
      </c>
      <c r="H233" s="50">
        <f t="shared" si="78"/>
        <v>0.54249711138546908</v>
      </c>
      <c r="I233" s="50">
        <f t="shared" si="78"/>
        <v>0.54249711138546908</v>
      </c>
      <c r="J233" s="50">
        <f t="shared" si="78"/>
        <v>0.54249711138546908</v>
      </c>
      <c r="K233" s="50">
        <f t="shared" si="78"/>
        <v>0.54249711138546908</v>
      </c>
      <c r="L233" s="50">
        <f t="shared" ref="L233:M233" si="86">L169*L212</f>
        <v>0.54249711138546908</v>
      </c>
      <c r="M233" s="50">
        <f t="shared" si="86"/>
        <v>0.54249711138546908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0.60292731887048456</v>
      </c>
      <c r="H234" s="50">
        <f t="shared" si="78"/>
        <v>0.58802911078526587</v>
      </c>
      <c r="I234" s="50">
        <f t="shared" si="78"/>
        <v>0.59398868353479006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1.6978472992024343E-2</v>
      </c>
      <c r="H235" s="50">
        <f t="shared" si="78"/>
        <v>2.3381695693279341E-2</v>
      </c>
      <c r="I235" s="50">
        <f t="shared" si="78"/>
        <v>2.8641198529107799E-2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2.1969264252021674E-3</v>
      </c>
      <c r="H236" s="50">
        <f t="shared" si="78"/>
        <v>3.0252579418036762E-3</v>
      </c>
      <c r="I236" s="50">
        <f t="shared" si="78"/>
        <v>3.7049823175063609E-3</v>
      </c>
      <c r="J236" s="50">
        <f t="shared" si="78"/>
        <v>1.6841132065702084E-2</v>
      </c>
      <c r="K236" s="50">
        <f t="shared" si="78"/>
        <v>1.6841132065702084E-2</v>
      </c>
      <c r="L236" s="50">
        <f t="shared" ref="L236:M236" si="89">L172*L215</f>
        <v>1.6841132065702084E-2</v>
      </c>
      <c r="M236" s="50">
        <f t="shared" si="89"/>
        <v>1.6841132065702084E-2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-5.0601780942432539E-5</v>
      </c>
      <c r="H237" s="50">
        <f t="shared" si="78"/>
        <v>-6.8814448137857615E-5</v>
      </c>
      <c r="I237" s="50">
        <f t="shared" si="78"/>
        <v>-8.4701876807375323E-5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1.3926124742892614</v>
      </c>
      <c r="H238" s="50">
        <f t="shared" si="78"/>
        <v>1.392710211411426</v>
      </c>
      <c r="I238" s="50">
        <f t="shared" si="78"/>
        <v>1.3930035193534567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0.66330363997882191</v>
      </c>
      <c r="H239" s="50">
        <f t="shared" si="78"/>
        <v>0.65510330663718708</v>
      </c>
      <c r="I239" s="50">
        <f t="shared" si="78"/>
        <v>0.65855328054531992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-1.690977315101363</v>
      </c>
      <c r="H240" s="50">
        <f t="shared" si="78"/>
        <v>-1.6699547891524116</v>
      </c>
      <c r="I240" s="50">
        <f t="shared" si="78"/>
        <v>-1.6783958066558908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-0.61486776733400983</v>
      </c>
      <c r="H241" s="50">
        <f t="shared" si="78"/>
        <v>-0.61486776733400983</v>
      </c>
      <c r="I241" s="50">
        <f t="shared" si="78"/>
        <v>-0.61486776733400983</v>
      </c>
      <c r="J241" s="50">
        <f t="shared" si="78"/>
        <v>-0.63354400167338631</v>
      </c>
      <c r="K241" s="50">
        <f t="shared" si="78"/>
        <v>-0.65115242378567983</v>
      </c>
      <c r="L241" s="50">
        <f t="shared" ref="L241:M241" si="94">L177*L220</f>
        <v>-0.66876084589797336</v>
      </c>
      <c r="M241" s="50">
        <f t="shared" si="94"/>
        <v>-0.68636926801026699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-2.1317382172435675E-3</v>
      </c>
      <c r="H242" s="50">
        <f t="shared" ref="H242:K243" si="95">H178*H221</f>
        <v>-1.0350877767604538E-3</v>
      </c>
      <c r="I242" s="50">
        <f t="shared" si="95"/>
        <v>-6.9833277167045981E-4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0.15871848125317303</v>
      </c>
      <c r="H243" s="50">
        <f t="shared" si="95"/>
        <v>0.17635386805908115</v>
      </c>
      <c r="I243" s="50">
        <f t="shared" si="95"/>
        <v>0.19398925486498925</v>
      </c>
      <c r="J243" s="50">
        <f t="shared" si="95"/>
        <v>0.21162464167089737</v>
      </c>
      <c r="K243" s="50">
        <f t="shared" si="95"/>
        <v>0.22926002847680549</v>
      </c>
      <c r="L243" s="50">
        <f t="shared" ref="L243:M243" si="97">L179*L222</f>
        <v>0.24689541528271358</v>
      </c>
      <c r="M243" s="50">
        <f t="shared" si="97"/>
        <v>0.26453080208862173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10.718891394784716</v>
      </c>
      <c r="H245" s="44">
        <f t="shared" ref="H245:K245" si="98">SUM(H226:H243)</f>
        <v>10.715771316430757</v>
      </c>
      <c r="I245" s="44">
        <f t="shared" si="98"/>
        <v>10.713737354867002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45201.764143616718</v>
      </c>
      <c r="H246" s="8">
        <f t="shared" ref="H246:K246" si="100">EXP(H245)</f>
        <v>45060.950886183135</v>
      </c>
      <c r="I246" s="8">
        <f t="shared" si="100"/>
        <v>44969.391789461122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124.57550597437343</v>
      </c>
      <c r="H247" s="21">
        <f t="shared" ref="H247:K247" si="102">H137</f>
        <v>127.43201532585269</v>
      </c>
      <c r="I247" s="21">
        <f t="shared" si="102"/>
        <v>130.35402427623998</v>
      </c>
      <c r="J247" s="21">
        <f t="shared" si="102"/>
        <v>130.35402427623998</v>
      </c>
      <c r="K247" s="21">
        <f t="shared" si="102"/>
        <v>130.35402427623998</v>
      </c>
      <c r="L247" s="21">
        <f t="shared" ref="L247:M247" si="103">L137</f>
        <v>130.35402427623998</v>
      </c>
      <c r="M247" s="21">
        <f t="shared" si="103"/>
        <v>130.35402427623998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5631032.6391253434</v>
      </c>
      <c r="H248" s="8">
        <f t="shared" ref="H248:K248" si="104">H246*H247</f>
        <v>5742207.7839255845</v>
      </c>
      <c r="I248" s="8">
        <f t="shared" si="104"/>
        <v>5861941.1890111621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3690658.8228852497</v>
      </c>
      <c r="H256" s="60">
        <f t="shared" ref="H256:K256" si="107">H121</f>
        <v>3938698.4757975321</v>
      </c>
      <c r="I256" s="60">
        <f t="shared" si="107"/>
        <v>4263398.8466197401</v>
      </c>
      <c r="J256" s="60">
        <f t="shared" si="107"/>
        <v>600045.73366530787</v>
      </c>
      <c r="K256" s="60">
        <f t="shared" si="107"/>
        <v>572503.63449007017</v>
      </c>
      <c r="L256" s="60">
        <f t="shared" ref="L256:M256" si="108">L121</f>
        <v>546225.71766697592</v>
      </c>
      <c r="M256" s="60">
        <f t="shared" si="108"/>
        <v>521153.95722606179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5631032.6391253434</v>
      </c>
      <c r="H257" s="60">
        <f t="shared" ref="H257:K257" si="110">H248</f>
        <v>5742207.7839255845</v>
      </c>
      <c r="I257" s="60">
        <f>I248</f>
        <v>5861941.1890111621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-1940373.8162400937</v>
      </c>
      <c r="H258" s="25">
        <f t="shared" ref="H258:K258" si="113">H256-H257</f>
        <v>-1803509.3081280524</v>
      </c>
      <c r="I258" s="25">
        <f t="shared" si="113"/>
        <v>-1598542.342391422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-0.34458578747316371</v>
      </c>
      <c r="H259" s="61">
        <f>H258/H257</f>
        <v>-0.31407942310563813</v>
      </c>
      <c r="I259" s="61">
        <f t="shared" ref="I259:K259" si="116">I258/I257</f>
        <v>-0.27269846128583841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-0.42248785768120484</v>
      </c>
      <c r="H261" s="64">
        <f>LN(H256/H257)</f>
        <v>-0.37699343508086169</v>
      </c>
      <c r="I261" s="64">
        <f t="shared" ref="I261:K261" si="118">LN(I256/I257)</f>
        <v>-0.31841411617124482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E30" sqref="E3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25">
      <c r="C3" s="233" t="str">
        <f>'Model Inputs'!F5</f>
        <v>Northern Ontario Wires Inc.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3690658.8228852497</v>
      </c>
      <c r="G10" s="86">
        <f>'Benchmarking Calculations'!H121</f>
        <v>3938698.4757975321</v>
      </c>
      <c r="H10" s="86">
        <f>'Benchmarking Calculations'!I121</f>
        <v>4263398.8466197401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5631032.6391253434</v>
      </c>
      <c r="G12" s="86">
        <f>'Benchmarking Calculations'!H257</f>
        <v>5742207.7839255845</v>
      </c>
      <c r="H12" s="86">
        <f>'Benchmarking Calculations'!I257</f>
        <v>5861941.1890111621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-1940373.8162400937</v>
      </c>
      <c r="G14" s="86">
        <f t="shared" si="0"/>
        <v>-1803509.3081280524</v>
      </c>
      <c r="H14" s="86">
        <f t="shared" si="0"/>
        <v>-1598542.342391422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-0.42248785768120484</v>
      </c>
      <c r="G16" s="167">
        <f t="shared" ref="G16:H16" si="2">LN(G10/G12)</f>
        <v>-0.37699343508086169</v>
      </c>
      <c r="H16" s="167">
        <f t="shared" si="2"/>
        <v>-0.31841411617124482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-0.37263180297777043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Geoffrey Sutton</cp:lastModifiedBy>
  <cp:lastPrinted>2016-09-29T15:24:51Z</cp:lastPrinted>
  <dcterms:created xsi:type="dcterms:W3CDTF">2016-07-20T15:58:10Z</dcterms:created>
  <dcterms:modified xsi:type="dcterms:W3CDTF">2017-02-17T19:57:06Z</dcterms:modified>
</cp:coreProperties>
</file>