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S:\Geoffrey\2017 NOW\2017 COST OF SERVICE APPLICATION\Settlement\"/>
    </mc:Choice>
  </mc:AlternateContent>
  <bookViews>
    <workbookView xWindow="0" yWindow="0" windowWidth="28800" windowHeight="12420" activeTab="2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1" i="4" l="1"/>
  <c r="I121" i="4"/>
  <c r="I45" i="4"/>
  <c r="I80" i="4"/>
  <c r="I73" i="4"/>
  <c r="I75" i="4"/>
  <c r="I68" i="4"/>
  <c r="I71" i="4"/>
  <c r="I58" i="4"/>
  <c r="I61" i="4"/>
  <c r="I59" i="4"/>
  <c r="I69" i="4"/>
  <c r="I15" i="4" l="1"/>
  <c r="I10" i="4"/>
  <c r="H121" i="4" l="1"/>
  <c r="I18" i="4" l="1"/>
  <c r="H18" i="4"/>
  <c r="I14" i="4" l="1"/>
  <c r="H28" i="4" l="1"/>
  <c r="I28" i="4"/>
  <c r="J28" i="4"/>
  <c r="K28" i="4"/>
  <c r="L28" i="4"/>
  <c r="M28" i="4"/>
  <c r="C3" i="4" l="1"/>
  <c r="E3" i="1" l="1"/>
  <c r="G88" i="1" s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H165" i="1" s="1"/>
  <c r="G157" i="1"/>
  <c r="G153" i="1"/>
  <c r="G144" i="1"/>
  <c r="G134" i="1"/>
  <c r="G128" i="1"/>
  <c r="G117" i="1"/>
  <c r="G113" i="1"/>
  <c r="G107" i="1"/>
  <c r="G96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H117" i="1" s="1"/>
  <c r="G110" i="1"/>
  <c r="G89" i="1"/>
  <c r="G79" i="1"/>
  <c r="G71" i="1"/>
  <c r="G63" i="1"/>
  <c r="G55" i="1"/>
  <c r="G47" i="1"/>
  <c r="M32" i="4"/>
  <c r="C3" i="5" l="1"/>
  <c r="M115" i="4"/>
  <c r="M119" i="4"/>
  <c r="M120" i="4"/>
  <c r="M121" i="4"/>
  <c r="M122" i="4"/>
  <c r="M113" i="4"/>
  <c r="M110" i="4"/>
  <c r="M92" i="4"/>
  <c r="M87" i="4"/>
  <c r="M79" i="4"/>
  <c r="M65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2" i="4"/>
  <c r="J122" i="4"/>
  <c r="K122" i="4"/>
  <c r="L122" i="4"/>
  <c r="H122" i="4"/>
  <c r="I65" i="4"/>
  <c r="J65" i="4"/>
  <c r="K65" i="4"/>
  <c r="L65" i="4"/>
  <c r="H65" i="4"/>
  <c r="I79" i="4"/>
  <c r="J79" i="4"/>
  <c r="K79" i="4"/>
  <c r="L79" i="4"/>
  <c r="H79" i="4"/>
  <c r="I87" i="4"/>
  <c r="J87" i="4"/>
  <c r="K87" i="4"/>
  <c r="L87" i="4"/>
  <c r="H87" i="4"/>
  <c r="H92" i="4"/>
  <c r="I92" i="4"/>
  <c r="J92" i="4"/>
  <c r="K92" i="4"/>
  <c r="L92" i="4"/>
  <c r="I110" i="4"/>
  <c r="J110" i="4"/>
  <c r="K110" i="4"/>
  <c r="L110" i="4"/>
  <c r="H110" i="4"/>
  <c r="I113" i="4"/>
  <c r="J113" i="4"/>
  <c r="K113" i="4"/>
  <c r="L113" i="4"/>
  <c r="H113" i="4"/>
  <c r="I115" i="4"/>
  <c r="J115" i="4"/>
  <c r="K115" i="4"/>
  <c r="L115" i="4"/>
  <c r="H115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6" i="4"/>
  <c r="M30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6" i="4"/>
  <c r="J30" i="4" s="1"/>
  <c r="I116" i="4"/>
  <c r="H116" i="4"/>
  <c r="K116" i="4"/>
  <c r="K30" i="4" s="1"/>
  <c r="L116" i="4"/>
  <c r="L30" i="4" s="1"/>
  <c r="I30" i="4" l="1"/>
  <c r="I127" i="4"/>
  <c r="I128" i="4" s="1"/>
  <c r="G18" i="4"/>
  <c r="G256" i="1"/>
  <c r="H145" i="1" l="1"/>
  <c r="H119" i="4"/>
  <c r="I119" i="4"/>
  <c r="J119" i="4"/>
  <c r="K119" i="4"/>
  <c r="L119" i="4"/>
  <c r="H120" i="4"/>
  <c r="I120" i="4"/>
  <c r="J120" i="4"/>
  <c r="K120" i="4"/>
  <c r="L120" i="4"/>
  <c r="J121" i="4"/>
  <c r="K121" i="4"/>
  <c r="L121" i="4"/>
  <c r="G23" i="4"/>
  <c r="G22" i="4"/>
  <c r="H22" i="4" s="1"/>
  <c r="I22" i="4" s="1"/>
  <c r="G21" i="4"/>
  <c r="H21" i="4" s="1"/>
  <c r="I21" i="4" s="1"/>
  <c r="G122" i="4"/>
  <c r="G123" i="4"/>
  <c r="G38" i="4" s="1"/>
  <c r="G46" i="4"/>
  <c r="G47" i="4"/>
  <c r="G48" i="4"/>
  <c r="G119" i="4" s="1"/>
  <c r="G49" i="4"/>
  <c r="G120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121" i="4" s="1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36" i="4" s="1"/>
  <c r="G45" i="4"/>
  <c r="G15" i="4"/>
  <c r="G16" i="4"/>
  <c r="G17" i="4"/>
  <c r="G14" i="4"/>
  <c r="G11" i="4"/>
  <c r="G10" i="4"/>
  <c r="L222" i="1"/>
  <c r="F10" i="5"/>
  <c r="H135" i="1" l="1"/>
  <c r="I135" i="1" s="1"/>
  <c r="G37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30" i="4"/>
  <c r="H30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G28" i="4" l="1"/>
  <c r="H136" i="1"/>
  <c r="M209" i="1"/>
  <c r="M213" i="1" s="1"/>
  <c r="M221" i="1"/>
  <c r="M207" i="1"/>
  <c r="M211" i="1" s="1"/>
  <c r="J135" i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I97" i="1"/>
  <c r="H209" i="1"/>
  <c r="H213" i="1" s="1"/>
  <c r="H130" i="1"/>
  <c r="H113" i="1"/>
  <c r="H129" i="1"/>
  <c r="J112" i="1" l="1"/>
  <c r="K112" i="1" s="1"/>
  <c r="L112" i="1" s="1"/>
  <c r="I116" i="1"/>
  <c r="M218" i="1"/>
  <c r="M136" i="1"/>
  <c r="M112" i="1"/>
  <c r="M116" i="1" s="1"/>
  <c r="K145" i="1"/>
  <c r="I113" i="1"/>
  <c r="J96" i="1"/>
  <c r="J98" i="1"/>
  <c r="J110" i="1"/>
  <c r="J113" i="1" s="1"/>
  <c r="J92" i="1"/>
  <c r="J114" i="1" s="1"/>
  <c r="J97" i="1"/>
  <c r="J99" i="1"/>
  <c r="J142" i="1"/>
  <c r="J93" i="1"/>
  <c r="J115" i="1" s="1"/>
  <c r="G32" i="4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s="1"/>
  <c r="I117" i="1" s="1"/>
  <c r="I118" i="1" l="1"/>
  <c r="I119" i="1" s="1"/>
  <c r="I139" i="1"/>
  <c r="H119" i="1"/>
  <c r="M113" i="1"/>
  <c r="M139" i="1" s="1"/>
  <c r="H32" i="4"/>
  <c r="L145" i="1"/>
  <c r="K97" i="1"/>
  <c r="K96" i="1"/>
  <c r="K99" i="1"/>
  <c r="K142" i="1"/>
  <c r="K92" i="1"/>
  <c r="K114" i="1" s="1"/>
  <c r="K98" i="1"/>
  <c r="K93" i="1"/>
  <c r="K115" i="1" s="1"/>
  <c r="K110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J117" i="1"/>
  <c r="I32" i="4"/>
  <c r="I89" i="1" s="1"/>
  <c r="I107" i="1" s="1"/>
  <c r="I121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H256" i="1" l="1"/>
  <c r="J32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G10" i="5" l="1"/>
  <c r="K32" i="4"/>
  <c r="K89" i="1" s="1"/>
  <c r="K107" i="1" s="1"/>
  <c r="L32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229" i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H261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H22" i="5" s="1"/>
  <c r="K245" i="1"/>
  <c r="K246" i="1" s="1"/>
  <c r="K248" i="1" s="1"/>
  <c r="K257" i="1" s="1"/>
  <c r="I14" i="5"/>
  <c r="I16" i="5" s="1"/>
  <c r="I10" i="5"/>
  <c r="I18" i="5" l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<sst xmlns="http://schemas.openxmlformats.org/spreadsheetml/2006/main" count="521" uniqueCount="279">
  <si>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</si>
  <si>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</si>
  <si>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</si>
  <si>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</si>
  <si>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</si>
  <si>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</si>
  <si>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</si>
  <si>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</si>
  <si>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</si>
  <si>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</si>
  <si>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</si>
  <si>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</si>
  <si>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</si>
  <si>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</si>
  <si>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</si>
  <si>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</si>
  <si>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</si>
  <si>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</si>
  <si>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</si>
  <si>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</si>
  <si>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</si>
  <si>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</si>
  <si>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</si>
  <si>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</si>
  <si>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</si>
  <si>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</si>
  <si>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</si>
  <si>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</si>
  <si>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</si>
  <si>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</si>
  <si>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</si>
  <si>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</si>
  <si>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</si>
  <si>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</si>
  <si>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</si>
  <si>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</si>
  <si>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</si>
  <si>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</si>
  <si>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</si>
  <si>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</si>
  <si>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</si>
  <si>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</si>
  <si>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</si>
  <si>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</si>
  <si>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</si>
  <si>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</si>
  <si>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</si>
  <si>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</si>
  <si>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</si>
  <si>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</si>
  <si>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</si>
  <si>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</si>
  <si>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</si>
  <si>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</si>
  <si>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</si>
  <si>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</si>
  <si>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</si>
  <si>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</si>
  <si>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</si>
  <si>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</si>
  <si>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</si>
  <si>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</si>
  <si>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</si>
  <si>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</si>
  <si>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</si>
  <si>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</si>
  <si>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</si>
  <si>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</si>
  <si>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</si>
  <si>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</si>
  <si>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</si>
  <si>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</si>
  <si>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</si>
  <si>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</si>
  <si>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</si>
  <si>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</si>
  <si>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</si>
  <si>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</si>
  <si>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</si>
  <si>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</si>
  <si>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</si>
  <si>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</si>
  <si>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</si>
  <si>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</si>
  <si>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</si>
  <si>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</si>
  <si>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</si>
  <si>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</si>
  <si>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</si>
  <si>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</si>
  <si>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</si>
  <si>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</si>
  <si>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</si>
  <si>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</si>
  <si>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</si>
  <si>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</si>
  <si>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</si>
  <si>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</si>
  <si>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</si>
  <si>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</si>
  <si>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</si>
  <si>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</si>
  <si>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</si>
  <si>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</si>
  <si>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</si>
  <si>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</si>
  <si>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</si>
  <si>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</si>
  <si>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</si>
  <si>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</si>
  <si>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</si>
  <si>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</si>
  <si>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</si>
  <si>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</si>
  <si>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</si>
  <si>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</si>
  <si>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</si>
  <si>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</si>
  <si>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</si>
  <si>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</si>
  <si>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</si>
  <si>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</si>
  <si>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</si>
  <si>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</si>
  <si>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</si>
  <si>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</si>
  <si>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</si>
  <si>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</si>
  <si>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</si>
  <si>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</si>
  <si>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</si>
  <si>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</si>
  <si>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</si>
  <si>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</si>
  <si>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</si>
  <si>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</si>
  <si>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</si>
  <si>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</si>
  <si>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</si>
  <si>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</si>
  <si>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</si>
  <si>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</si>
  <si>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</si>
  <si>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</si>
  <si>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</si>
  <si>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</si>
  <si>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</si>
  <si>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</si>
  <si>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</si>
  <si>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</si>
  <si>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</si>
  <si>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</si>
  <si>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</si>
  <si>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</si>
  <si>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</si>
  <si>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</si>
  <si>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</si>
  <si>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</si>
  <si>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</si>
  <si>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</si>
  <si>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</si>
  <si>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</si>
  <si>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</si>
  <si>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</si>
  <si>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</si>
  <si>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</si>
  <si>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</si>
  <si>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</si>
  <si>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</si>
  <si>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</si>
  <si>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</si>
  <si>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</si>
  <si>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</si>
  <si>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</si>
  <si>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</si>
  <si>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</si>
  <si>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</si>
  <si>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</si>
  <si>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</si>
  <si>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</si>
  <si>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</si>
  <si>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</si>
  <si>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</si>
  <si>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</si>
  <si>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</si>
  <si>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</si>
  <si>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</si>
  <si>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</si>
  <si>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</si>
  <si>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</si>
  <si>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</si>
  <si>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</si>
  <si>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</si>
  <si>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</si>
  <si>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</si>
  <si>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</si>
  <si>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</si>
  <si>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</si>
  <si>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</si>
  <si>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</si>
  <si>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</si>
  <si>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</si>
  <si>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</si>
  <si>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</si>
  <si>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</si>
  <si>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</si>
  <si>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</si>
  <si>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</si>
  <si>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</si>
  <si>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</si>
  <si>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</si>
  <si>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</si>
  <si>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</si>
  <si>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</si>
  <si>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</si>
  <si>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</si>
  <si>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</si>
  <si>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</si>
  <si>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</si>
  <si>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</si>
  <si>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</si>
  <si>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</si>
  <si>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</si>
  <si>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</si>
  <si>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</si>
  <si>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</si>
  <si>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</si>
  <si>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</si>
  <si>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</si>
  <si>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</si>
  <si>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</si>
  <si>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</si>
  <si>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</si>
  <si>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</si>
  <si>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</si>
  <si>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</si>
  <si>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</si>
  <si>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</si>
  <si>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</si>
  <si>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</si>
  <si>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</si>
  <si>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</si>
  <si>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</si>
  <si>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</si>
  <si>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</si>
  <si>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</si>
  <si>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</si>
  <si>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</si>
  <si>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</si>
  <si>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</si>
  <si>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</si>
  <si>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</si>
  <si>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</si>
  <si>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</si>
  <si>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</si>
  <si>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</si>
  <si>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</si>
  <si>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</si>
  <si>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</si>
  <si>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</si>
  <si>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</si>
  <si>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</si>
  <si>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</si>
  <si>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</si>
  <si>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</si>
  <si>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</si>
  <si>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</si>
  <si>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</si>
  <si>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</si>
  <si>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</si>
  <si>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</si>
  <si>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</si>
  <si>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</si>
  <si>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</si>
  <si>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</si>
  <si>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</si>
  <si>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</si>
  <si>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</si>
  <si>
    <t>UNAUDITED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</si>
</sst>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b/>
      <sz val="16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7" fontId="8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3" fillId="0" borderId="0" xfId="1" applyFont="1" applyFill="1" applyAlignment="1">
      <alignment horizontal="left"/>
    </xf>
    <xf numFmtId="165" fontId="12" fillId="0" borderId="0" xfId="1" applyFont="1" applyFill="1" applyAlignment="1">
      <alignment horizontal="left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7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7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71" fontId="0" fillId="4" borderId="0" xfId="0" applyNumberFormat="1" applyFill="1"/>
    <xf numFmtId="168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174" fontId="0" fillId="4" borderId="0" xfId="0" applyNumberFormat="1" applyFill="1"/>
    <xf numFmtId="173" fontId="11" fillId="4" borderId="0" xfId="0" applyNumberFormat="1" applyFont="1" applyFill="1"/>
    <xf numFmtId="10" fontId="0" fillId="4" borderId="0" xfId="1" applyNumberFormat="1" applyFon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8" fillId="0" borderId="0" xfId="2" applyNumberFormat="1" applyFon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7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68" fontId="0" fillId="0" borderId="0" xfId="0" applyNumberFormat="1" applyFill="1" applyAlignment="1">
      <alignment horizontal="center"/>
    </xf>
    <xf numFmtId="173" fontId="0" fillId="0" borderId="0" xfId="0" applyNumberFormat="1" applyFill="1" applyAlignment="1">
      <alignment horizontal="center"/>
    </xf>
    <xf numFmtId="173" fontId="0" fillId="0" borderId="0" xfId="1" applyNumberFormat="1" applyFont="1" applyFill="1" applyAlignment="1">
      <alignment horizontal="center"/>
    </xf>
    <xf numFmtId="172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31"/>
  <sheetViews>
    <sheetView topLeftCell="A91" zoomScaleNormal="100" workbookViewId="0">
      <selection activeCell="I132" sqref="I13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3" t="s">
        <v>191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</row>
    <row r="3" spans="2:15" ht="19.5" customHeight="1" x14ac:dyDescent="0.25">
      <c r="C3" s="224" t="str">
        <f>IF(F5="Click to Choose an LDC","",F5)</f>
        <v>Northern Ontario Wires Inc.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50"/>
    </row>
    <row r="5" spans="2:15" ht="25.5" customHeight="1" thickBot="1" x14ac:dyDescent="0.25">
      <c r="B5" s="145" t="s">
        <v>189</v>
      </c>
      <c r="E5" s="78"/>
      <c r="F5" s="146" t="s">
        <v>250</v>
      </c>
      <c r="G5" s="14" t="s">
        <v>175</v>
      </c>
      <c r="H5" s="14" t="s">
        <v>176</v>
      </c>
      <c r="I5" s="14" t="s">
        <v>174</v>
      </c>
      <c r="J5" s="225" t="s">
        <v>177</v>
      </c>
      <c r="K5" s="225"/>
      <c r="L5" s="225"/>
      <c r="M5" s="225"/>
      <c r="N5" s="78"/>
      <c r="O5" s="94"/>
    </row>
    <row r="6" spans="2:15" s="92" customFormat="1" x14ac:dyDescent="0.2">
      <c r="B6" s="145"/>
      <c r="E6" s="78"/>
      <c r="F6" s="26"/>
      <c r="G6" s="221"/>
      <c r="H6" s="221" t="s">
        <v>278</v>
      </c>
      <c r="I6" s="221"/>
      <c r="J6" s="38"/>
      <c r="K6" s="38"/>
      <c r="L6" s="38"/>
      <c r="M6" s="38"/>
      <c r="N6" s="78"/>
      <c r="O6" s="94"/>
    </row>
    <row r="7" spans="2:15" ht="36" customHeight="1" x14ac:dyDescent="0.35">
      <c r="B7" s="6" t="s">
        <v>180</v>
      </c>
      <c r="C7" s="93"/>
      <c r="D7" s="26"/>
      <c r="E7" s="26"/>
      <c r="F7" s="26"/>
      <c r="G7" s="14">
        <v>2015</v>
      </c>
      <c r="H7" s="14">
        <v>2016</v>
      </c>
      <c r="I7" s="14">
        <v>2017</v>
      </c>
      <c r="J7" s="14">
        <v>2018</v>
      </c>
      <c r="K7" s="14">
        <v>2019</v>
      </c>
      <c r="L7" s="14">
        <v>2020</v>
      </c>
      <c r="M7" s="14">
        <v>2021</v>
      </c>
      <c r="N7" s="151"/>
      <c r="O7" s="2"/>
    </row>
    <row r="8" spans="2:15" x14ac:dyDescent="0.2">
      <c r="C8" s="26"/>
      <c r="D8" s="26"/>
      <c r="E8" s="26"/>
      <c r="G8" s="26"/>
      <c r="H8" s="26"/>
      <c r="I8" s="26"/>
      <c r="J8" s="26"/>
      <c r="K8" s="26"/>
      <c r="L8" s="26"/>
      <c r="M8" s="26"/>
      <c r="N8" s="78"/>
    </row>
    <row r="9" spans="2:15" x14ac:dyDescent="0.2">
      <c r="C9" s="76" t="s">
        <v>85</v>
      </c>
      <c r="D9" s="76"/>
      <c r="E9" s="14"/>
      <c r="F9" s="26"/>
      <c r="H9" s="226"/>
      <c r="I9" s="226"/>
      <c r="J9" s="226"/>
      <c r="K9" s="226"/>
      <c r="L9" s="226"/>
      <c r="M9" s="226"/>
      <c r="N9" s="78"/>
    </row>
    <row r="10" spans="2:15" x14ac:dyDescent="0.2">
      <c r="B10" s="2">
        <v>1</v>
      </c>
      <c r="C10" s="77"/>
      <c r="D10" s="78" t="s">
        <v>86</v>
      </c>
      <c r="F10" s="26"/>
      <c r="G10" s="86">
        <f>'Benchmarking Calculations'!G92</f>
        <v>424755</v>
      </c>
      <c r="H10" s="125">
        <v>962243</v>
      </c>
      <c r="I10" s="125">
        <f>827500-50000</f>
        <v>777500</v>
      </c>
      <c r="J10" s="125"/>
      <c r="K10" s="125"/>
      <c r="L10" s="125"/>
      <c r="M10" s="125"/>
      <c r="N10" s="78" t="s">
        <v>172</v>
      </c>
      <c r="O10" s="88"/>
    </row>
    <row r="11" spans="2:15" x14ac:dyDescent="0.2">
      <c r="B11" s="2">
        <v>2</v>
      </c>
      <c r="C11" s="77"/>
      <c r="D11" s="78" t="s">
        <v>87</v>
      </c>
      <c r="F11" s="26"/>
      <c r="G11" s="86">
        <f>'Benchmarking Calculations'!G93</f>
        <v>0</v>
      </c>
      <c r="H11" s="125"/>
      <c r="I11" s="125"/>
      <c r="J11" s="125"/>
      <c r="K11" s="125"/>
      <c r="L11" s="125"/>
      <c r="M11" s="125"/>
      <c r="N11" s="78" t="s">
        <v>172</v>
      </c>
      <c r="O11" s="88"/>
    </row>
    <row r="12" spans="2:15" x14ac:dyDescent="0.2">
      <c r="C12" s="77"/>
      <c r="D12" s="77"/>
      <c r="E12" s="14"/>
      <c r="F12" s="26"/>
      <c r="G12" s="86"/>
      <c r="H12" s="26"/>
      <c r="I12" s="26"/>
      <c r="J12" s="26"/>
      <c r="K12" s="26"/>
      <c r="L12" s="26"/>
      <c r="M12" s="26"/>
      <c r="N12" s="78"/>
      <c r="O12" s="88"/>
    </row>
    <row r="13" spans="2:15" x14ac:dyDescent="0.2">
      <c r="C13" s="76" t="s">
        <v>88</v>
      </c>
      <c r="D13" s="76"/>
      <c r="E13" s="14"/>
      <c r="F13" s="26"/>
      <c r="G13" s="86"/>
      <c r="H13" s="185"/>
      <c r="I13" s="185"/>
      <c r="J13" s="185"/>
      <c r="K13" s="185"/>
      <c r="L13" s="185"/>
      <c r="M13" s="185"/>
      <c r="N13" s="78"/>
      <c r="O13" s="88"/>
    </row>
    <row r="14" spans="2:15" x14ac:dyDescent="0.2">
      <c r="B14" s="2">
        <v>3</v>
      </c>
      <c r="C14" s="77"/>
      <c r="D14" s="37" t="s">
        <v>89</v>
      </c>
      <c r="F14" s="26"/>
      <c r="G14" s="86">
        <f>'Benchmarking Calculations'!G96</f>
        <v>6075</v>
      </c>
      <c r="H14" s="125">
        <v>6074</v>
      </c>
      <c r="I14" s="125">
        <f>5216+784+71</f>
        <v>6071</v>
      </c>
      <c r="J14" s="125"/>
      <c r="K14" s="125"/>
      <c r="L14" s="125"/>
      <c r="M14" s="125"/>
      <c r="N14" s="78" t="s">
        <v>172</v>
      </c>
      <c r="O14" s="88"/>
    </row>
    <row r="15" spans="2:15" x14ac:dyDescent="0.2">
      <c r="B15" s="2">
        <v>4</v>
      </c>
      <c r="C15" s="77"/>
      <c r="D15" s="37" t="s">
        <v>90</v>
      </c>
      <c r="F15" s="26"/>
      <c r="G15" s="86">
        <f>'Benchmarking Calculations'!G97</f>
        <v>120944395</v>
      </c>
      <c r="H15" s="125">
        <v>124919501</v>
      </c>
      <c r="I15" s="125">
        <f>123307945+920000</f>
        <v>124227945</v>
      </c>
      <c r="J15" s="125"/>
      <c r="K15" s="125"/>
      <c r="L15" s="125"/>
      <c r="M15" s="125"/>
      <c r="N15" s="78" t="s">
        <v>172</v>
      </c>
      <c r="O15" s="88"/>
    </row>
    <row r="16" spans="2:15" x14ac:dyDescent="0.2">
      <c r="B16" s="2">
        <v>5</v>
      </c>
      <c r="C16" s="26"/>
      <c r="D16" s="37" t="s">
        <v>91</v>
      </c>
      <c r="F16" s="26"/>
      <c r="G16" s="86">
        <f>'Benchmarking Calculations'!G98</f>
        <v>23679</v>
      </c>
      <c r="H16" s="125">
        <v>23252</v>
      </c>
      <c r="I16" s="125">
        <v>23250</v>
      </c>
      <c r="J16" s="125"/>
      <c r="K16" s="125"/>
      <c r="L16" s="125"/>
      <c r="M16" s="125"/>
      <c r="N16" s="78" t="s">
        <v>172</v>
      </c>
      <c r="O16" s="88"/>
    </row>
    <row r="17" spans="2:15" x14ac:dyDescent="0.2">
      <c r="B17" s="2">
        <v>6</v>
      </c>
      <c r="C17" s="26"/>
      <c r="D17" s="78" t="s">
        <v>192</v>
      </c>
      <c r="F17" s="26"/>
      <c r="G17" s="86">
        <f>'Benchmarking Calculations'!G99</f>
        <v>370</v>
      </c>
      <c r="H17" s="125">
        <v>370</v>
      </c>
      <c r="I17" s="125">
        <v>370</v>
      </c>
      <c r="J17" s="125"/>
      <c r="K17" s="125"/>
      <c r="L17" s="125"/>
      <c r="M17" s="125"/>
      <c r="N17" s="78" t="s">
        <v>172</v>
      </c>
      <c r="O17" s="88"/>
    </row>
    <row r="18" spans="2:15" x14ac:dyDescent="0.2">
      <c r="B18" s="2">
        <v>7</v>
      </c>
      <c r="C18" s="38"/>
      <c r="D18" s="77" t="s">
        <v>121</v>
      </c>
      <c r="F18" s="78"/>
      <c r="G18" s="90">
        <f>'Benchmarking Calculations'!G145</f>
        <v>-2.0477265398258625E-2</v>
      </c>
      <c r="H18" s="119">
        <f>+(H14/6135)-1</f>
        <v>-9.9429502852486085E-3</v>
      </c>
      <c r="I18" s="119">
        <f>+(I14/6112)-1</f>
        <v>-6.7081151832460995E-3</v>
      </c>
      <c r="J18" s="119"/>
      <c r="K18" s="119"/>
      <c r="L18" s="119"/>
      <c r="M18" s="119"/>
      <c r="N18" s="78" t="s">
        <v>172</v>
      </c>
      <c r="O18" s="88"/>
    </row>
    <row r="19" spans="2:15" x14ac:dyDescent="0.2">
      <c r="C19" s="38"/>
      <c r="E19" s="77"/>
      <c r="F19" s="78"/>
      <c r="G19" s="51"/>
      <c r="H19" s="82"/>
      <c r="I19" s="58"/>
      <c r="J19" s="26"/>
      <c r="K19" s="26"/>
      <c r="L19" s="26"/>
      <c r="M19" s="26"/>
    </row>
    <row r="20" spans="2:15" x14ac:dyDescent="0.2">
      <c r="C20" s="76" t="s">
        <v>165</v>
      </c>
      <c r="E20" s="77"/>
      <c r="F20" s="78"/>
      <c r="G20" s="51"/>
      <c r="H20" s="226"/>
      <c r="I20" s="226"/>
      <c r="J20" s="226"/>
      <c r="K20" s="226"/>
      <c r="L20" s="226"/>
      <c r="M20" s="226"/>
    </row>
    <row r="21" spans="2:15" x14ac:dyDescent="0.2">
      <c r="B21" s="2">
        <v>8</v>
      </c>
      <c r="C21" s="38"/>
      <c r="D21" s="77" t="s">
        <v>166</v>
      </c>
      <c r="F21" s="78"/>
      <c r="G21" s="90">
        <f>LN('Benchmarking Calculations'!G135/'Benchmarking Calculations'!F135)</f>
        <v>2.5639327969446551E-2</v>
      </c>
      <c r="H21" s="124">
        <f>+G21</f>
        <v>2.5639327969446551E-2</v>
      </c>
      <c r="I21" s="124">
        <f>+H21</f>
        <v>2.5639327969446551E-2</v>
      </c>
      <c r="J21" s="124"/>
      <c r="K21" s="124"/>
      <c r="L21" s="124"/>
      <c r="M21" s="124"/>
      <c r="N21" s="78" t="s">
        <v>188</v>
      </c>
    </row>
    <row r="22" spans="2:15" ht="14.25" customHeight="1" x14ac:dyDescent="0.2">
      <c r="B22" s="2">
        <v>9</v>
      </c>
      <c r="C22" s="38"/>
      <c r="D22" s="77" t="s">
        <v>167</v>
      </c>
      <c r="F22" s="78"/>
      <c r="G22" s="90">
        <f>LN('Benchmarking Calculations'!G134/'Benchmarking Calculations'!F134)</f>
        <v>1.574491305654421E-2</v>
      </c>
      <c r="H22" s="124">
        <f>G22</f>
        <v>1.574491305654421E-2</v>
      </c>
      <c r="I22" s="124">
        <f>+H22</f>
        <v>1.574491305654421E-2</v>
      </c>
      <c r="J22" s="124"/>
      <c r="K22" s="124"/>
      <c r="L22" s="124"/>
      <c r="M22" s="124"/>
      <c r="N22" s="78" t="s">
        <v>188</v>
      </c>
    </row>
    <row r="23" spans="2:15" x14ac:dyDescent="0.2">
      <c r="B23" s="2">
        <v>10</v>
      </c>
      <c r="C23" s="38"/>
      <c r="D23" s="26" t="s">
        <v>173</v>
      </c>
      <c r="F23" s="78"/>
      <c r="G23" s="90">
        <f>'Benchmarking Calculations'!G110</f>
        <v>6.5054666666666677E-2</v>
      </c>
      <c r="H23" s="124">
        <v>6.0299999999999999E-2</v>
      </c>
      <c r="I23" s="124">
        <v>5.67E-2</v>
      </c>
      <c r="J23" s="124"/>
      <c r="K23" s="124"/>
      <c r="L23" s="124"/>
      <c r="M23" s="124"/>
      <c r="N23" s="78" t="s">
        <v>172</v>
      </c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38"/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s="92" customFormat="1" x14ac:dyDescent="0.2">
      <c r="B26" s="2"/>
      <c r="C26" s="79" t="s">
        <v>193</v>
      </c>
      <c r="D26" s="26"/>
      <c r="F26" s="78"/>
      <c r="G26" s="90"/>
      <c r="H26" s="95"/>
      <c r="I26" s="95"/>
      <c r="J26" s="95"/>
      <c r="K26" s="95"/>
      <c r="L26" s="95"/>
      <c r="M26" s="95"/>
      <c r="N26" s="78"/>
    </row>
    <row r="27" spans="2:15" ht="13.5" thickBot="1" x14ac:dyDescent="0.25">
      <c r="C27" s="38"/>
      <c r="D27" s="77"/>
      <c r="E27" s="14"/>
      <c r="F27" s="78"/>
      <c r="G27" s="51"/>
      <c r="H27" s="82"/>
      <c r="I27" s="58"/>
      <c r="J27" s="26"/>
      <c r="K27" s="26"/>
      <c r="L27" s="26"/>
      <c r="M27" s="26"/>
      <c r="N27" s="78"/>
    </row>
    <row r="28" spans="2:15" ht="13.5" thickBot="1" x14ac:dyDescent="0.25">
      <c r="E28" s="144" t="s">
        <v>170</v>
      </c>
      <c r="F28" s="76" t="s">
        <v>198</v>
      </c>
      <c r="G28" s="51">
        <f>G36-G37+G38</f>
        <v>2293522.0105000003</v>
      </c>
      <c r="H28" s="51">
        <f t="shared" ref="H28:M28" si="0">H36-H37+H38</f>
        <v>0</v>
      </c>
      <c r="I28" s="51">
        <f t="shared" si="0"/>
        <v>0</v>
      </c>
      <c r="J28" s="51">
        <f t="shared" si="0"/>
        <v>0</v>
      </c>
      <c r="K28" s="51">
        <f t="shared" si="0"/>
        <v>0</v>
      </c>
      <c r="L28" s="51">
        <f t="shared" si="0"/>
        <v>0</v>
      </c>
      <c r="M28" s="51">
        <f t="shared" si="0"/>
        <v>0</v>
      </c>
      <c r="N28" s="59" t="s">
        <v>29</v>
      </c>
    </row>
    <row r="29" spans="2:15" ht="13.5" thickBot="1" x14ac:dyDescent="0.25">
      <c r="B29" s="12" t="s">
        <v>190</v>
      </c>
      <c r="E29" s="14"/>
      <c r="F29" s="76"/>
      <c r="G29" s="51"/>
      <c r="H29" s="51"/>
      <c r="I29" s="51"/>
      <c r="J29" s="51"/>
      <c r="K29" s="51"/>
      <c r="L29" s="51"/>
      <c r="M29" s="51"/>
      <c r="N29" s="78"/>
    </row>
    <row r="30" spans="2:15" ht="13.5" thickBot="1" x14ac:dyDescent="0.25">
      <c r="E30" s="144" t="s">
        <v>169</v>
      </c>
      <c r="F30" s="76" t="s">
        <v>202</v>
      </c>
      <c r="G30" s="51">
        <f t="shared" ref="G30:M30" si="1">G116-G122+G123</f>
        <v>2293522.0105000003</v>
      </c>
      <c r="H30" s="51">
        <f t="shared" si="1"/>
        <v>2540569.81</v>
      </c>
      <c r="I30" s="51">
        <f t="shared" si="1"/>
        <v>2728262</v>
      </c>
      <c r="J30" s="51">
        <f t="shared" si="1"/>
        <v>0</v>
      </c>
      <c r="K30" s="51">
        <f t="shared" si="1"/>
        <v>0</v>
      </c>
      <c r="L30" s="51">
        <f t="shared" si="1"/>
        <v>0</v>
      </c>
      <c r="M30" s="51">
        <f t="shared" si="1"/>
        <v>0</v>
      </c>
      <c r="N30" s="59" t="s">
        <v>29</v>
      </c>
    </row>
    <row r="31" spans="2:15" x14ac:dyDescent="0.2">
      <c r="C31" s="71"/>
      <c r="D31" s="77"/>
      <c r="E31" s="77"/>
      <c r="F31" s="78"/>
      <c r="G31" s="51"/>
      <c r="H31" s="82"/>
      <c r="I31" s="58"/>
      <c r="J31" s="26"/>
      <c r="K31" s="26"/>
      <c r="L31" s="26"/>
      <c r="M31" s="26"/>
      <c r="N31" s="78"/>
    </row>
    <row r="32" spans="2:15" x14ac:dyDescent="0.2">
      <c r="B32" s="2">
        <v>11</v>
      </c>
      <c r="D32" s="77"/>
      <c r="E32" s="72" t="s">
        <v>171</v>
      </c>
      <c r="F32" s="78"/>
      <c r="G32" s="51">
        <f t="shared" ref="G32:M32" si="2">IF($E$28="Y",G28,IF($E$30="Y",G30,"Error: Please enter Y for one method"))</f>
        <v>2293522.0105000003</v>
      </c>
      <c r="H32" s="51">
        <f t="shared" si="2"/>
        <v>2540569.81</v>
      </c>
      <c r="I32" s="51">
        <f t="shared" si="2"/>
        <v>2728262</v>
      </c>
      <c r="J32" s="51">
        <f t="shared" si="2"/>
        <v>0</v>
      </c>
      <c r="K32" s="51">
        <f t="shared" si="2"/>
        <v>0</v>
      </c>
      <c r="L32" s="51">
        <f t="shared" si="2"/>
        <v>0</v>
      </c>
      <c r="M32" s="51">
        <f t="shared" si="2"/>
        <v>0</v>
      </c>
      <c r="N32" s="59" t="s">
        <v>29</v>
      </c>
    </row>
    <row r="33" spans="2:14" ht="13.5" thickBot="1" x14ac:dyDescent="0.25">
      <c r="C33" s="79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78"/>
    </row>
    <row r="34" spans="2:14" s="92" customFormat="1" x14ac:dyDescent="0.2">
      <c r="B34" s="2"/>
      <c r="C34" s="15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153"/>
    </row>
    <row r="35" spans="2:14" x14ac:dyDescent="0.2">
      <c r="C35" s="154"/>
      <c r="D35" s="79" t="s">
        <v>179</v>
      </c>
      <c r="E35" s="26"/>
      <c r="F35" s="26"/>
      <c r="G35" s="86"/>
      <c r="H35" s="222" t="s">
        <v>183</v>
      </c>
      <c r="I35" s="222"/>
      <c r="J35" s="222"/>
      <c r="K35" s="222"/>
      <c r="L35" s="222"/>
      <c r="M35" s="222"/>
      <c r="N35" s="155"/>
    </row>
    <row r="36" spans="2:14" x14ac:dyDescent="0.2">
      <c r="C36" s="154"/>
      <c r="D36" s="171" t="s">
        <v>195</v>
      </c>
      <c r="E36" s="26" t="s">
        <v>203</v>
      </c>
      <c r="F36" s="26"/>
      <c r="G36" s="85">
        <f>G116</f>
        <v>2224139.6800000006</v>
      </c>
      <c r="H36" s="125"/>
      <c r="I36" s="125"/>
      <c r="J36" s="120"/>
      <c r="K36" s="120"/>
      <c r="L36" s="120"/>
      <c r="M36" s="120"/>
      <c r="N36" s="155" t="s">
        <v>172</v>
      </c>
    </row>
    <row r="37" spans="2:14" x14ac:dyDescent="0.2">
      <c r="C37" s="154"/>
      <c r="D37" s="171" t="s">
        <v>196</v>
      </c>
      <c r="E37" s="26" t="s">
        <v>194</v>
      </c>
      <c r="F37" s="26"/>
      <c r="G37" s="51">
        <f>G122</f>
        <v>3596.37</v>
      </c>
      <c r="H37" s="125"/>
      <c r="I37" s="125"/>
      <c r="J37" s="120"/>
      <c r="K37" s="120"/>
      <c r="L37" s="120"/>
      <c r="M37" s="120"/>
      <c r="N37" s="155" t="s">
        <v>172</v>
      </c>
    </row>
    <row r="38" spans="2:14" x14ac:dyDescent="0.2">
      <c r="C38" s="154"/>
      <c r="D38" s="172" t="s">
        <v>197</v>
      </c>
      <c r="E38" s="26" t="s">
        <v>83</v>
      </c>
      <c r="F38" s="26"/>
      <c r="G38" s="51">
        <f>G123</f>
        <v>72978.700500000006</v>
      </c>
      <c r="H38" s="125"/>
      <c r="I38" s="125"/>
      <c r="J38" s="120"/>
      <c r="K38" s="120"/>
      <c r="L38" s="120"/>
      <c r="M38" s="120"/>
      <c r="N38" s="155" t="s">
        <v>172</v>
      </c>
    </row>
    <row r="39" spans="2:14" s="92" customFormat="1" ht="13.5" thickBot="1" x14ac:dyDescent="0.25">
      <c r="B39" s="2"/>
      <c r="C39" s="156"/>
      <c r="D39" s="75"/>
      <c r="E39" s="75"/>
      <c r="F39" s="75"/>
      <c r="G39" s="157"/>
      <c r="H39" s="166"/>
      <c r="I39" s="166"/>
      <c r="J39" s="166"/>
      <c r="K39" s="166"/>
      <c r="L39" s="166"/>
      <c r="M39" s="166"/>
      <c r="N39" s="158"/>
    </row>
    <row r="40" spans="2:14" s="92" customFormat="1" ht="13.5" thickBot="1" x14ac:dyDescent="0.25">
      <c r="B40" s="2"/>
      <c r="C40" s="79"/>
      <c r="D40" s="26"/>
      <c r="E40" s="26"/>
      <c r="F40" s="26"/>
      <c r="G40" s="51"/>
      <c r="H40" s="85"/>
      <c r="I40" s="85"/>
      <c r="J40" s="85"/>
      <c r="K40" s="85"/>
      <c r="L40" s="85"/>
      <c r="M40" s="85"/>
      <c r="N40" s="78"/>
    </row>
    <row r="41" spans="2:14" x14ac:dyDescent="0.2">
      <c r="C41" s="15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153"/>
    </row>
    <row r="42" spans="2:14" x14ac:dyDescent="0.2">
      <c r="C42" s="154"/>
      <c r="D42" s="79" t="s">
        <v>178</v>
      </c>
      <c r="E42" s="26"/>
      <c r="F42" s="26"/>
      <c r="G42" s="26"/>
      <c r="H42" s="26"/>
      <c r="I42" s="26"/>
      <c r="J42" s="26"/>
      <c r="K42" s="26"/>
      <c r="L42" s="26"/>
      <c r="M42" s="26"/>
      <c r="N42" s="155"/>
    </row>
    <row r="43" spans="2:14" x14ac:dyDescent="0.2">
      <c r="C43" s="7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155"/>
    </row>
    <row r="44" spans="2:14" x14ac:dyDescent="0.2">
      <c r="C44" s="159"/>
      <c r="D44" s="79" t="s">
        <v>164</v>
      </c>
      <c r="E44" s="79"/>
      <c r="F44" s="14"/>
      <c r="G44" s="37"/>
      <c r="H44" s="26"/>
      <c r="I44" s="26"/>
      <c r="J44" s="26"/>
      <c r="K44" s="26"/>
      <c r="L44" s="26"/>
      <c r="M44" s="26"/>
      <c r="N44" s="155"/>
    </row>
    <row r="45" spans="2:14" x14ac:dyDescent="0.2">
      <c r="C45" s="159"/>
      <c r="D45" s="26"/>
      <c r="E45" s="78">
        <v>5005</v>
      </c>
      <c r="F45" s="151" t="s">
        <v>8</v>
      </c>
      <c r="G45" s="58">
        <f>'Benchmarking Calculations'!G10</f>
        <v>103210.57</v>
      </c>
      <c r="H45" s="142">
        <v>107479</v>
      </c>
      <c r="I45" s="142">
        <f>184601-631</f>
        <v>183970</v>
      </c>
      <c r="J45" s="143"/>
      <c r="K45" s="143"/>
      <c r="L45" s="143"/>
      <c r="M45" s="143"/>
      <c r="N45" s="155" t="s">
        <v>172</v>
      </c>
    </row>
    <row r="46" spans="2:14" x14ac:dyDescent="0.2">
      <c r="C46" s="159"/>
      <c r="D46" s="26"/>
      <c r="E46" s="78">
        <v>5010</v>
      </c>
      <c r="F46" s="151" t="s">
        <v>9</v>
      </c>
      <c r="G46" s="58">
        <f>'Benchmarking Calculations'!G11</f>
        <v>0</v>
      </c>
      <c r="H46" s="142"/>
      <c r="I46" s="142"/>
      <c r="J46" s="143"/>
      <c r="K46" s="143"/>
      <c r="L46" s="143"/>
      <c r="M46" s="143"/>
      <c r="N46" s="155" t="s">
        <v>172</v>
      </c>
    </row>
    <row r="47" spans="2:14" x14ac:dyDescent="0.2">
      <c r="C47" s="159"/>
      <c r="D47" s="26"/>
      <c r="E47" s="78">
        <v>5012</v>
      </c>
      <c r="F47" s="151" t="s">
        <v>10</v>
      </c>
      <c r="G47" s="58">
        <f>'Benchmarking Calculations'!G12</f>
        <v>2199.5100000000002</v>
      </c>
      <c r="H47" s="142">
        <v>1286</v>
      </c>
      <c r="I47" s="142">
        <v>1530</v>
      </c>
      <c r="J47" s="143"/>
      <c r="K47" s="143"/>
      <c r="L47" s="143"/>
      <c r="M47" s="143"/>
      <c r="N47" s="155" t="s">
        <v>172</v>
      </c>
    </row>
    <row r="48" spans="2:14" x14ac:dyDescent="0.2">
      <c r="C48" s="159"/>
      <c r="D48" s="26"/>
      <c r="E48" s="78">
        <v>5014</v>
      </c>
      <c r="F48" s="151" t="s">
        <v>11</v>
      </c>
      <c r="G48" s="58">
        <f>'Benchmarking Calculations'!G13</f>
        <v>0</v>
      </c>
      <c r="H48" s="142"/>
      <c r="I48" s="142"/>
      <c r="J48" s="143"/>
      <c r="K48" s="143"/>
      <c r="L48" s="143"/>
      <c r="M48" s="143"/>
      <c r="N48" s="155" t="s">
        <v>172</v>
      </c>
    </row>
    <row r="49" spans="3:14" ht="25.5" x14ac:dyDescent="0.2">
      <c r="C49" s="159"/>
      <c r="D49" s="26"/>
      <c r="E49" s="78">
        <v>5015</v>
      </c>
      <c r="F49" s="151" t="s">
        <v>12</v>
      </c>
      <c r="G49" s="58">
        <f>'Benchmarking Calculations'!G14</f>
        <v>0</v>
      </c>
      <c r="H49" s="142"/>
      <c r="I49" s="142"/>
      <c r="J49" s="143"/>
      <c r="K49" s="143"/>
      <c r="L49" s="143"/>
      <c r="M49" s="143"/>
      <c r="N49" s="155" t="s">
        <v>172</v>
      </c>
    </row>
    <row r="50" spans="3:14" x14ac:dyDescent="0.2">
      <c r="C50" s="159"/>
      <c r="D50" s="26"/>
      <c r="E50" s="78">
        <v>5016</v>
      </c>
      <c r="F50" s="151" t="s">
        <v>13</v>
      </c>
      <c r="G50" s="58">
        <f>'Benchmarking Calculations'!G15</f>
        <v>1490.22</v>
      </c>
      <c r="H50" s="142">
        <v>0</v>
      </c>
      <c r="I50" s="142">
        <v>1358</v>
      </c>
      <c r="J50" s="143"/>
      <c r="K50" s="143"/>
      <c r="L50" s="143"/>
      <c r="M50" s="143"/>
      <c r="N50" s="155" t="s">
        <v>172</v>
      </c>
    </row>
    <row r="51" spans="3:14" ht="25.5" x14ac:dyDescent="0.2">
      <c r="C51" s="159"/>
      <c r="D51" s="26"/>
      <c r="E51" s="78">
        <v>5017</v>
      </c>
      <c r="F51" s="151" t="s">
        <v>14</v>
      </c>
      <c r="G51" s="58">
        <f>'Benchmarking Calculations'!G16</f>
        <v>9581.44</v>
      </c>
      <c r="H51" s="142">
        <v>10000</v>
      </c>
      <c r="I51" s="142">
        <v>10000</v>
      </c>
      <c r="J51" s="143"/>
      <c r="K51" s="143"/>
      <c r="L51" s="143"/>
      <c r="M51" s="143"/>
      <c r="N51" s="155" t="s">
        <v>172</v>
      </c>
    </row>
    <row r="52" spans="3:14" ht="25.5" x14ac:dyDescent="0.2">
      <c r="C52" s="159"/>
      <c r="D52" s="26"/>
      <c r="E52" s="78">
        <v>5020</v>
      </c>
      <c r="F52" s="151" t="s">
        <v>15</v>
      </c>
      <c r="G52" s="58">
        <f>'Benchmarking Calculations'!G17</f>
        <v>38979.800000000003</v>
      </c>
      <c r="H52" s="142">
        <v>45414</v>
      </c>
      <c r="I52" s="142">
        <v>62260</v>
      </c>
      <c r="J52" s="143"/>
      <c r="K52" s="143"/>
      <c r="L52" s="143"/>
      <c r="M52" s="143"/>
      <c r="N52" s="155" t="s">
        <v>172</v>
      </c>
    </row>
    <row r="53" spans="3:14" ht="25.5" x14ac:dyDescent="0.2">
      <c r="C53" s="159"/>
      <c r="D53" s="26"/>
      <c r="E53" s="78">
        <v>5025</v>
      </c>
      <c r="F53" s="151" t="s">
        <v>16</v>
      </c>
      <c r="G53" s="58">
        <f>'Benchmarking Calculations'!G18</f>
        <v>1171.1099999999999</v>
      </c>
      <c r="H53" s="142">
        <v>1360</v>
      </c>
      <c r="I53" s="142">
        <v>3333</v>
      </c>
      <c r="J53" s="143"/>
      <c r="K53" s="143"/>
      <c r="L53" s="143"/>
      <c r="M53" s="143"/>
      <c r="N53" s="155" t="s">
        <v>172</v>
      </c>
    </row>
    <row r="54" spans="3:14" x14ac:dyDescent="0.2">
      <c r="C54" s="159"/>
      <c r="D54" s="26"/>
      <c r="E54" s="78">
        <v>5035</v>
      </c>
      <c r="F54" s="151" t="s">
        <v>17</v>
      </c>
      <c r="G54" s="58">
        <f>'Benchmarking Calculations'!G19</f>
        <v>10575</v>
      </c>
      <c r="H54" s="142">
        <v>10550</v>
      </c>
      <c r="I54" s="142">
        <v>15414</v>
      </c>
      <c r="J54" s="143"/>
      <c r="K54" s="143"/>
      <c r="L54" s="143"/>
      <c r="M54" s="143"/>
      <c r="N54" s="155" t="s">
        <v>172</v>
      </c>
    </row>
    <row r="55" spans="3:14" ht="25.5" x14ac:dyDescent="0.2">
      <c r="C55" s="159"/>
      <c r="D55" s="26"/>
      <c r="E55" s="78">
        <v>5040</v>
      </c>
      <c r="F55" s="151" t="s">
        <v>18</v>
      </c>
      <c r="G55" s="58">
        <f>'Benchmarking Calculations'!G20</f>
        <v>0</v>
      </c>
      <c r="H55" s="142"/>
      <c r="I55" s="142"/>
      <c r="J55" s="143"/>
      <c r="K55" s="143"/>
      <c r="L55" s="143"/>
      <c r="M55" s="143"/>
      <c r="N55" s="155" t="s">
        <v>172</v>
      </c>
    </row>
    <row r="56" spans="3:14" ht="25.5" x14ac:dyDescent="0.2">
      <c r="C56" s="159"/>
      <c r="D56" s="26"/>
      <c r="E56" s="78">
        <v>5045</v>
      </c>
      <c r="F56" s="151" t="s">
        <v>19</v>
      </c>
      <c r="G56" s="58">
        <f>'Benchmarking Calculations'!G21</f>
        <v>0</v>
      </c>
      <c r="H56" s="142"/>
      <c r="I56" s="142"/>
      <c r="J56" s="143"/>
      <c r="K56" s="143"/>
      <c r="L56" s="143"/>
      <c r="M56" s="143"/>
      <c r="N56" s="155" t="s">
        <v>172</v>
      </c>
    </row>
    <row r="57" spans="3:14" x14ac:dyDescent="0.2">
      <c r="C57" s="159"/>
      <c r="D57" s="26"/>
      <c r="E57" s="78">
        <v>5055</v>
      </c>
      <c r="F57" s="151" t="s">
        <v>20</v>
      </c>
      <c r="G57" s="58">
        <f>'Benchmarking Calculations'!G22</f>
        <v>1655.03</v>
      </c>
      <c r="H57" s="142">
        <v>765</v>
      </c>
      <c r="I57" s="142">
        <v>1262</v>
      </c>
      <c r="J57" s="143"/>
      <c r="K57" s="143"/>
      <c r="L57" s="143"/>
      <c r="M57" s="143"/>
      <c r="N57" s="155" t="s">
        <v>172</v>
      </c>
    </row>
    <row r="58" spans="3:14" x14ac:dyDescent="0.2">
      <c r="C58" s="159"/>
      <c r="D58" s="26"/>
      <c r="E58" s="78">
        <v>5065</v>
      </c>
      <c r="F58" s="151" t="s">
        <v>21</v>
      </c>
      <c r="G58" s="58">
        <f>'Benchmarking Calculations'!G23</f>
        <v>14790.21</v>
      </c>
      <c r="H58" s="142">
        <v>13366</v>
      </c>
      <c r="I58" s="142">
        <f>27032-2096</f>
        <v>24936</v>
      </c>
      <c r="J58" s="143"/>
      <c r="K58" s="143"/>
      <c r="L58" s="143"/>
      <c r="M58" s="143"/>
      <c r="N58" s="155" t="s">
        <v>172</v>
      </c>
    </row>
    <row r="59" spans="3:14" x14ac:dyDescent="0.2">
      <c r="C59" s="159"/>
      <c r="D59" s="26"/>
      <c r="E59" s="78">
        <v>5070</v>
      </c>
      <c r="F59" s="151" t="s">
        <v>22</v>
      </c>
      <c r="G59" s="58">
        <f>'Benchmarking Calculations'!G24</f>
        <v>127530.38</v>
      </c>
      <c r="H59" s="142">
        <v>170188</v>
      </c>
      <c r="I59" s="142">
        <f>191508-19335</f>
        <v>172173</v>
      </c>
      <c r="J59" s="143"/>
      <c r="K59" s="143"/>
      <c r="L59" s="143"/>
      <c r="M59" s="143"/>
      <c r="N59" s="155" t="s">
        <v>172</v>
      </c>
    </row>
    <row r="60" spans="3:14" ht="25.5" x14ac:dyDescent="0.2">
      <c r="C60" s="159"/>
      <c r="D60" s="26"/>
      <c r="E60" s="78">
        <v>5075</v>
      </c>
      <c r="F60" s="151" t="s">
        <v>23</v>
      </c>
      <c r="G60" s="58">
        <f>'Benchmarking Calculations'!G25</f>
        <v>42767.41</v>
      </c>
      <c r="H60" s="142">
        <v>43422</v>
      </c>
      <c r="I60" s="142">
        <v>71353</v>
      </c>
      <c r="J60" s="143"/>
      <c r="K60" s="143"/>
      <c r="L60" s="143"/>
      <c r="M60" s="143"/>
      <c r="N60" s="155" t="s">
        <v>172</v>
      </c>
    </row>
    <row r="61" spans="3:14" x14ac:dyDescent="0.2">
      <c r="C61" s="159"/>
      <c r="D61" s="26"/>
      <c r="E61" s="78">
        <v>5085</v>
      </c>
      <c r="F61" s="151" t="s">
        <v>24</v>
      </c>
      <c r="G61" s="58">
        <f>'Benchmarking Calculations'!G26</f>
        <v>220792.94</v>
      </c>
      <c r="H61" s="142">
        <v>205483</v>
      </c>
      <c r="I61" s="142">
        <f>284124-31261</f>
        <v>252863</v>
      </c>
      <c r="J61" s="143"/>
      <c r="K61" s="143"/>
      <c r="L61" s="143"/>
      <c r="M61" s="143"/>
      <c r="N61" s="155" t="s">
        <v>172</v>
      </c>
    </row>
    <row r="62" spans="3:14" ht="25.5" x14ac:dyDescent="0.2">
      <c r="C62" s="159"/>
      <c r="D62" s="26"/>
      <c r="E62" s="78">
        <v>5090</v>
      </c>
      <c r="F62" s="151" t="s">
        <v>25</v>
      </c>
      <c r="G62" s="58">
        <f>'Benchmarking Calculations'!G27</f>
        <v>0</v>
      </c>
      <c r="H62" s="142"/>
      <c r="I62" s="142"/>
      <c r="J62" s="143"/>
      <c r="K62" s="143"/>
      <c r="L62" s="143"/>
      <c r="M62" s="143"/>
      <c r="N62" s="155" t="s">
        <v>172</v>
      </c>
    </row>
    <row r="63" spans="3:14" ht="25.5" x14ac:dyDescent="0.2">
      <c r="C63" s="159"/>
      <c r="D63" s="26"/>
      <c r="E63" s="78">
        <v>5095</v>
      </c>
      <c r="F63" s="151" t="s">
        <v>26</v>
      </c>
      <c r="G63" s="58">
        <f>'Benchmarking Calculations'!G28</f>
        <v>13106.28</v>
      </c>
      <c r="H63" s="142">
        <v>13106</v>
      </c>
      <c r="I63" s="142">
        <v>16198</v>
      </c>
      <c r="J63" s="143"/>
      <c r="K63" s="143"/>
      <c r="L63" s="143"/>
      <c r="M63" s="143"/>
      <c r="N63" s="155" t="s">
        <v>172</v>
      </c>
    </row>
    <row r="64" spans="3:14" x14ac:dyDescent="0.2">
      <c r="C64" s="159"/>
      <c r="D64" s="26"/>
      <c r="E64" s="111">
        <v>5096</v>
      </c>
      <c r="F64" s="170" t="s">
        <v>27</v>
      </c>
      <c r="G64" s="112">
        <f>'Benchmarking Calculations'!G29</f>
        <v>634.88</v>
      </c>
      <c r="H64" s="142"/>
      <c r="I64" s="142"/>
      <c r="J64" s="143"/>
      <c r="K64" s="143"/>
      <c r="L64" s="143"/>
      <c r="M64" s="143"/>
      <c r="N64" s="155" t="s">
        <v>172</v>
      </c>
    </row>
    <row r="65" spans="3:14" x14ac:dyDescent="0.2">
      <c r="C65" s="159"/>
      <c r="D65" s="26"/>
      <c r="E65" s="16"/>
      <c r="F65" s="80" t="s">
        <v>28</v>
      </c>
      <c r="G65" s="110">
        <f>'Benchmarking Calculations'!G30</f>
        <v>588484.78000000014</v>
      </c>
      <c r="H65" s="81">
        <f>SUM(H45:H64)</f>
        <v>622419</v>
      </c>
      <c r="I65" s="81">
        <f t="shared" ref="I65:M65" si="3">SUM(I45:I64)</f>
        <v>816650</v>
      </c>
      <c r="J65" s="81">
        <f t="shared" si="3"/>
        <v>0</v>
      </c>
      <c r="K65" s="81">
        <f t="shared" si="3"/>
        <v>0</v>
      </c>
      <c r="L65" s="81">
        <f t="shared" si="3"/>
        <v>0</v>
      </c>
      <c r="M65" s="81">
        <f t="shared" si="3"/>
        <v>0</v>
      </c>
      <c r="N65" s="160" t="s">
        <v>29</v>
      </c>
    </row>
    <row r="66" spans="3:14" x14ac:dyDescent="0.2">
      <c r="C66" s="159"/>
      <c r="D66" s="26"/>
      <c r="E66" s="78">
        <v>5105</v>
      </c>
      <c r="F66" s="151" t="s">
        <v>30</v>
      </c>
      <c r="G66" s="58">
        <f>'Benchmarking Calculations'!G31</f>
        <v>9914.25</v>
      </c>
      <c r="H66" s="142">
        <v>13115</v>
      </c>
      <c r="I66" s="142">
        <v>2992</v>
      </c>
      <c r="J66" s="143"/>
      <c r="K66" s="143"/>
      <c r="L66" s="143"/>
      <c r="M66" s="143"/>
      <c r="N66" s="155" t="s">
        <v>172</v>
      </c>
    </row>
    <row r="67" spans="3:14" x14ac:dyDescent="0.2">
      <c r="C67" s="159"/>
      <c r="D67" s="26"/>
      <c r="E67" s="78">
        <v>5110</v>
      </c>
      <c r="F67" s="151" t="s">
        <v>31</v>
      </c>
      <c r="G67" s="58">
        <f>'Benchmarking Calculations'!G32</f>
        <v>67.34</v>
      </c>
      <c r="H67" s="142">
        <v>1591</v>
      </c>
      <c r="I67" s="142"/>
      <c r="J67" s="143"/>
      <c r="K67" s="143"/>
      <c r="L67" s="143"/>
      <c r="M67" s="143"/>
      <c r="N67" s="155" t="s">
        <v>172</v>
      </c>
    </row>
    <row r="68" spans="3:14" x14ac:dyDescent="0.2">
      <c r="C68" s="159"/>
      <c r="D68" s="26"/>
      <c r="E68" s="78">
        <v>5112</v>
      </c>
      <c r="F68" s="151" t="s">
        <v>32</v>
      </c>
      <c r="G68" s="58">
        <f>'Benchmarking Calculations'!G33</f>
        <v>3596.37</v>
      </c>
      <c r="H68" s="142">
        <v>4208</v>
      </c>
      <c r="I68" s="142">
        <f>10082-8532</f>
        <v>1550</v>
      </c>
      <c r="J68" s="143"/>
      <c r="K68" s="143"/>
      <c r="L68" s="143"/>
      <c r="M68" s="143"/>
      <c r="N68" s="155" t="s">
        <v>172</v>
      </c>
    </row>
    <row r="69" spans="3:14" x14ac:dyDescent="0.2">
      <c r="C69" s="159"/>
      <c r="D69" s="26"/>
      <c r="E69" s="78">
        <v>5114</v>
      </c>
      <c r="F69" s="151" t="s">
        <v>33</v>
      </c>
      <c r="G69" s="58">
        <f>'Benchmarking Calculations'!G34</f>
        <v>7808.04</v>
      </c>
      <c r="H69" s="142">
        <v>5954</v>
      </c>
      <c r="I69" s="142">
        <f>7471-715</f>
        <v>6756</v>
      </c>
      <c r="J69" s="143"/>
      <c r="K69" s="143"/>
      <c r="L69" s="143"/>
      <c r="M69" s="143"/>
      <c r="N69" s="155" t="s">
        <v>172</v>
      </c>
    </row>
    <row r="70" spans="3:14" x14ac:dyDescent="0.2">
      <c r="C70" s="159"/>
      <c r="D70" s="26"/>
      <c r="E70" s="78">
        <v>5120</v>
      </c>
      <c r="F70" s="151" t="s">
        <v>34</v>
      </c>
      <c r="G70" s="58">
        <f>'Benchmarking Calculations'!G35</f>
        <v>26970.27</v>
      </c>
      <c r="H70" s="142">
        <v>21553</v>
      </c>
      <c r="I70" s="142">
        <v>37128</v>
      </c>
      <c r="J70" s="143"/>
      <c r="K70" s="143"/>
      <c r="L70" s="143"/>
      <c r="M70" s="143"/>
      <c r="N70" s="155" t="s">
        <v>172</v>
      </c>
    </row>
    <row r="71" spans="3:14" x14ac:dyDescent="0.2">
      <c r="C71" s="159"/>
      <c r="D71" s="26"/>
      <c r="E71" s="78">
        <v>5125</v>
      </c>
      <c r="F71" s="151" t="s">
        <v>35</v>
      </c>
      <c r="G71" s="58">
        <f>'Benchmarking Calculations'!G36</f>
        <v>143750.5</v>
      </c>
      <c r="H71" s="142">
        <v>152197</v>
      </c>
      <c r="I71" s="142">
        <f>215753-51649</f>
        <v>164104</v>
      </c>
      <c r="J71" s="143"/>
      <c r="K71" s="143"/>
      <c r="L71" s="143"/>
      <c r="M71" s="143"/>
      <c r="N71" s="155" t="s">
        <v>172</v>
      </c>
    </row>
    <row r="72" spans="3:14" x14ac:dyDescent="0.2">
      <c r="C72" s="159"/>
      <c r="D72" s="26"/>
      <c r="E72" s="78">
        <v>5130</v>
      </c>
      <c r="F72" s="151" t="s">
        <v>36</v>
      </c>
      <c r="G72" s="58">
        <f>'Benchmarking Calculations'!G37</f>
        <v>105866.96</v>
      </c>
      <c r="H72" s="142">
        <v>177451</v>
      </c>
      <c r="I72" s="142">
        <v>171917</v>
      </c>
      <c r="J72" s="143"/>
      <c r="K72" s="143"/>
      <c r="L72" s="143"/>
      <c r="M72" s="143"/>
      <c r="N72" s="155" t="s">
        <v>172</v>
      </c>
    </row>
    <row r="73" spans="3:14" ht="25.5" x14ac:dyDescent="0.2">
      <c r="C73" s="159"/>
      <c r="D73" s="26"/>
      <c r="E73" s="78">
        <v>5135</v>
      </c>
      <c r="F73" s="151" t="s">
        <v>37</v>
      </c>
      <c r="G73" s="58">
        <f>'Benchmarking Calculations'!G38</f>
        <v>81751.75</v>
      </c>
      <c r="H73" s="142">
        <v>104336</v>
      </c>
      <c r="I73" s="142">
        <f>120658-12384</f>
        <v>108274</v>
      </c>
      <c r="J73" s="143"/>
      <c r="K73" s="143"/>
      <c r="L73" s="143"/>
      <c r="M73" s="143"/>
      <c r="N73" s="155" t="s">
        <v>172</v>
      </c>
    </row>
    <row r="74" spans="3:14" x14ac:dyDescent="0.2">
      <c r="C74" s="159"/>
      <c r="D74" s="26"/>
      <c r="E74" s="78">
        <v>5145</v>
      </c>
      <c r="F74" s="151" t="s">
        <v>38</v>
      </c>
      <c r="G74" s="58">
        <f>'Benchmarking Calculations'!G39</f>
        <v>12084.19</v>
      </c>
      <c r="H74" s="142">
        <v>14299</v>
      </c>
      <c r="I74" s="142">
        <v>956</v>
      </c>
      <c r="J74" s="143"/>
      <c r="K74" s="143"/>
      <c r="L74" s="143"/>
      <c r="M74" s="143"/>
      <c r="N74" s="155" t="s">
        <v>172</v>
      </c>
    </row>
    <row r="75" spans="3:14" ht="25.5" x14ac:dyDescent="0.2">
      <c r="C75" s="159"/>
      <c r="D75" s="26"/>
      <c r="E75" s="78">
        <v>5150</v>
      </c>
      <c r="F75" s="151" t="s">
        <v>39</v>
      </c>
      <c r="G75" s="58">
        <f>'Benchmarking Calculations'!G40</f>
        <v>32500.52</v>
      </c>
      <c r="H75" s="142">
        <v>31024</v>
      </c>
      <c r="I75" s="142">
        <f>41542-3397</f>
        <v>38145</v>
      </c>
      <c r="J75" s="143"/>
      <c r="K75" s="143"/>
      <c r="L75" s="143"/>
      <c r="M75" s="143"/>
      <c r="N75" s="155" t="s">
        <v>172</v>
      </c>
    </row>
    <row r="76" spans="3:14" x14ac:dyDescent="0.2">
      <c r="C76" s="159"/>
      <c r="D76" s="26"/>
      <c r="E76" s="78">
        <v>5155</v>
      </c>
      <c r="F76" s="151" t="s">
        <v>40</v>
      </c>
      <c r="G76" s="58">
        <f>'Benchmarking Calculations'!G41</f>
        <v>9081.82</v>
      </c>
      <c r="H76" s="142">
        <v>2856</v>
      </c>
      <c r="I76" s="142">
        <v>14491</v>
      </c>
      <c r="J76" s="143"/>
      <c r="K76" s="143"/>
      <c r="L76" s="143"/>
      <c r="M76" s="143"/>
      <c r="N76" s="155" t="s">
        <v>172</v>
      </c>
    </row>
    <row r="77" spans="3:14" x14ac:dyDescent="0.2">
      <c r="C77" s="159"/>
      <c r="D77" s="26"/>
      <c r="E77" s="78">
        <v>5160</v>
      </c>
      <c r="F77" s="151" t="s">
        <v>41</v>
      </c>
      <c r="G77" s="58">
        <f>'Benchmarking Calculations'!G42</f>
        <v>11375.94</v>
      </c>
      <c r="H77" s="142">
        <v>16715</v>
      </c>
      <c r="I77" s="142">
        <v>18959</v>
      </c>
      <c r="J77" s="143"/>
      <c r="K77" s="143"/>
      <c r="L77" s="143"/>
      <c r="M77" s="143"/>
      <c r="N77" s="155" t="s">
        <v>172</v>
      </c>
    </row>
    <row r="78" spans="3:14" x14ac:dyDescent="0.2">
      <c r="C78" s="159"/>
      <c r="D78" s="26"/>
      <c r="E78" s="111">
        <v>5175</v>
      </c>
      <c r="F78" s="170" t="s">
        <v>42</v>
      </c>
      <c r="G78" s="112">
        <f>'Benchmarking Calculations'!G43</f>
        <v>574.03</v>
      </c>
      <c r="H78" s="142">
        <v>565</v>
      </c>
      <c r="I78" s="142">
        <v>511</v>
      </c>
      <c r="J78" s="143"/>
      <c r="K78" s="143"/>
      <c r="L78" s="143"/>
      <c r="M78" s="143"/>
      <c r="N78" s="155" t="s">
        <v>172</v>
      </c>
    </row>
    <row r="79" spans="3:14" x14ac:dyDescent="0.2">
      <c r="C79" s="159"/>
      <c r="D79" s="26"/>
      <c r="E79" s="16"/>
      <c r="F79" s="80" t="s">
        <v>43</v>
      </c>
      <c r="G79" s="110">
        <f>'Benchmarking Calculations'!G44</f>
        <v>445341.9800000001</v>
      </c>
      <c r="H79" s="81">
        <f>SUM(H66:H78)</f>
        <v>545864</v>
      </c>
      <c r="I79" s="81">
        <f t="shared" ref="I79:M79" si="4">SUM(I66:I78)</f>
        <v>565783</v>
      </c>
      <c r="J79" s="81">
        <f t="shared" si="4"/>
        <v>0</v>
      </c>
      <c r="K79" s="81">
        <f t="shared" si="4"/>
        <v>0</v>
      </c>
      <c r="L79" s="81">
        <f t="shared" si="4"/>
        <v>0</v>
      </c>
      <c r="M79" s="81">
        <f t="shared" si="4"/>
        <v>0</v>
      </c>
      <c r="N79" s="160" t="s">
        <v>29</v>
      </c>
    </row>
    <row r="80" spans="3:14" x14ac:dyDescent="0.2">
      <c r="C80" s="159"/>
      <c r="D80" s="26"/>
      <c r="E80" s="78">
        <v>5305</v>
      </c>
      <c r="F80" s="78" t="s">
        <v>44</v>
      </c>
      <c r="G80" s="58">
        <f>'Benchmarking Calculations'!G45</f>
        <v>83896.7</v>
      </c>
      <c r="H80" s="142">
        <v>87487</v>
      </c>
      <c r="I80" s="142">
        <f>110301-20000</f>
        <v>90301</v>
      </c>
      <c r="J80" s="143"/>
      <c r="K80" s="143"/>
      <c r="L80" s="143"/>
      <c r="M80" s="143"/>
      <c r="N80" s="155" t="s">
        <v>172</v>
      </c>
    </row>
    <row r="81" spans="3:14" x14ac:dyDescent="0.2">
      <c r="C81" s="159"/>
      <c r="D81" s="26"/>
      <c r="E81" s="78">
        <v>5310</v>
      </c>
      <c r="F81" s="78" t="s">
        <v>45</v>
      </c>
      <c r="G81" s="58">
        <f>'Benchmarking Calculations'!G46</f>
        <v>178101.85</v>
      </c>
      <c r="H81" s="142">
        <v>191697</v>
      </c>
      <c r="I81" s="142">
        <v>198123</v>
      </c>
      <c r="J81" s="143"/>
      <c r="K81" s="143"/>
      <c r="L81" s="143"/>
      <c r="M81" s="143"/>
      <c r="N81" s="155" t="s">
        <v>172</v>
      </c>
    </row>
    <row r="82" spans="3:14" x14ac:dyDescent="0.2">
      <c r="C82" s="159"/>
      <c r="D82" s="26"/>
      <c r="E82" s="78">
        <v>5315</v>
      </c>
      <c r="F82" s="78" t="s">
        <v>46</v>
      </c>
      <c r="G82" s="58">
        <f>'Benchmarking Calculations'!G47</f>
        <v>163828.26</v>
      </c>
      <c r="H82" s="142">
        <v>215755</v>
      </c>
      <c r="I82" s="142">
        <v>210505</v>
      </c>
      <c r="J82" s="143"/>
      <c r="K82" s="143"/>
      <c r="L82" s="143"/>
      <c r="M82" s="143"/>
      <c r="N82" s="155" t="s">
        <v>172</v>
      </c>
    </row>
    <row r="83" spans="3:14" x14ac:dyDescent="0.2">
      <c r="C83" s="159"/>
      <c r="D83" s="26"/>
      <c r="E83" s="78">
        <v>5320</v>
      </c>
      <c r="F83" s="78" t="s">
        <v>47</v>
      </c>
      <c r="G83" s="58">
        <f>'Benchmarking Calculations'!G48</f>
        <v>114155</v>
      </c>
      <c r="H83" s="142">
        <v>127757</v>
      </c>
      <c r="I83" s="142">
        <v>145816</v>
      </c>
      <c r="J83" s="143"/>
      <c r="K83" s="143"/>
      <c r="L83" s="143"/>
      <c r="M83" s="143"/>
      <c r="N83" s="155" t="s">
        <v>172</v>
      </c>
    </row>
    <row r="84" spans="3:14" x14ac:dyDescent="0.2">
      <c r="C84" s="159"/>
      <c r="D84" s="26"/>
      <c r="E84" s="78">
        <v>5325</v>
      </c>
      <c r="F84" s="78" t="s">
        <v>48</v>
      </c>
      <c r="G84" s="58">
        <f>'Benchmarking Calculations'!G49</f>
        <v>25.05</v>
      </c>
      <c r="H84" s="142">
        <v>107</v>
      </c>
      <c r="I84" s="142">
        <v>27</v>
      </c>
      <c r="J84" s="143"/>
      <c r="K84" s="143"/>
      <c r="L84" s="143"/>
      <c r="M84" s="143"/>
      <c r="N84" s="155" t="s">
        <v>172</v>
      </c>
    </row>
    <row r="85" spans="3:14" x14ac:dyDescent="0.2">
      <c r="C85" s="159"/>
      <c r="D85" s="26"/>
      <c r="E85" s="78">
        <v>5330</v>
      </c>
      <c r="F85" s="78" t="s">
        <v>49</v>
      </c>
      <c r="G85" s="58">
        <f>'Benchmarking Calculations'!G50</f>
        <v>3944.55</v>
      </c>
      <c r="H85" s="142">
        <v>1543</v>
      </c>
      <c r="I85" s="142">
        <v>4145</v>
      </c>
      <c r="J85" s="143"/>
      <c r="K85" s="143"/>
      <c r="L85" s="143"/>
      <c r="M85" s="143"/>
      <c r="N85" s="155" t="s">
        <v>172</v>
      </c>
    </row>
    <row r="86" spans="3:14" x14ac:dyDescent="0.2">
      <c r="C86" s="159"/>
      <c r="D86" s="26"/>
      <c r="E86" s="111">
        <v>5340</v>
      </c>
      <c r="F86" s="111" t="s">
        <v>50</v>
      </c>
      <c r="G86" s="112">
        <f>'Benchmarking Calculations'!G51</f>
        <v>2123.2600000000002</v>
      </c>
      <c r="H86" s="142">
        <v>3352</v>
      </c>
      <c r="I86" s="142">
        <v>2647</v>
      </c>
      <c r="J86" s="143"/>
      <c r="K86" s="143"/>
      <c r="L86" s="143"/>
      <c r="M86" s="143"/>
      <c r="N86" s="155" t="s">
        <v>172</v>
      </c>
    </row>
    <row r="87" spans="3:14" x14ac:dyDescent="0.2">
      <c r="C87" s="159"/>
      <c r="D87" s="26"/>
      <c r="E87" s="16"/>
      <c r="F87" s="80" t="s">
        <v>51</v>
      </c>
      <c r="G87" s="110">
        <f>'Benchmarking Calculations'!G52</f>
        <v>546074.67000000016</v>
      </c>
      <c r="H87" s="81">
        <f>SUM(H80:H86)</f>
        <v>627698</v>
      </c>
      <c r="I87" s="81">
        <f t="shared" ref="I87:M87" si="5">SUM(I80:I86)</f>
        <v>651564</v>
      </c>
      <c r="J87" s="81">
        <f t="shared" si="5"/>
        <v>0</v>
      </c>
      <c r="K87" s="81">
        <f t="shared" si="5"/>
        <v>0</v>
      </c>
      <c r="L87" s="81">
        <f t="shared" si="5"/>
        <v>0</v>
      </c>
      <c r="M87" s="81">
        <f t="shared" si="5"/>
        <v>0</v>
      </c>
      <c r="N87" s="160" t="s">
        <v>29</v>
      </c>
    </row>
    <row r="88" spans="3:14" x14ac:dyDescent="0.2">
      <c r="C88" s="159"/>
      <c r="D88" s="26"/>
      <c r="E88" s="78">
        <v>5405</v>
      </c>
      <c r="F88" s="78" t="s">
        <v>52</v>
      </c>
      <c r="G88" s="58">
        <f>'Benchmarking Calculations'!G53</f>
        <v>0</v>
      </c>
      <c r="H88" s="142"/>
      <c r="I88" s="142"/>
      <c r="J88" s="143"/>
      <c r="K88" s="143"/>
      <c r="L88" s="143"/>
      <c r="M88" s="143"/>
      <c r="N88" s="155" t="s">
        <v>172</v>
      </c>
    </row>
    <row r="89" spans="3:14" x14ac:dyDescent="0.2">
      <c r="C89" s="159"/>
      <c r="D89" s="26"/>
      <c r="E89" s="78">
        <v>5410</v>
      </c>
      <c r="F89" s="78" t="s">
        <v>53</v>
      </c>
      <c r="G89" s="58">
        <f>'Benchmarking Calculations'!G54</f>
        <v>0</v>
      </c>
      <c r="H89" s="142"/>
      <c r="I89" s="142"/>
      <c r="J89" s="143"/>
      <c r="K89" s="143"/>
      <c r="L89" s="143"/>
      <c r="M89" s="143"/>
      <c r="N89" s="155" t="s">
        <v>172</v>
      </c>
    </row>
    <row r="90" spans="3:14" x14ac:dyDescent="0.2">
      <c r="C90" s="159"/>
      <c r="D90" s="26"/>
      <c r="E90" s="78">
        <v>5420</v>
      </c>
      <c r="F90" s="78" t="s">
        <v>54</v>
      </c>
      <c r="G90" s="58">
        <f>'Benchmarking Calculations'!G55</f>
        <v>0</v>
      </c>
      <c r="H90" s="142"/>
      <c r="I90" s="142"/>
      <c r="J90" s="143"/>
      <c r="K90" s="143"/>
      <c r="L90" s="143"/>
      <c r="M90" s="143"/>
      <c r="N90" s="155" t="s">
        <v>172</v>
      </c>
    </row>
    <row r="91" spans="3:14" x14ac:dyDescent="0.2">
      <c r="C91" s="159"/>
      <c r="D91" s="26"/>
      <c r="E91" s="111">
        <v>5425</v>
      </c>
      <c r="F91" s="111" t="s">
        <v>55</v>
      </c>
      <c r="G91" s="112">
        <f>'Benchmarking Calculations'!G56</f>
        <v>0</v>
      </c>
      <c r="H91" s="142"/>
      <c r="I91" s="142"/>
      <c r="J91" s="143"/>
      <c r="K91" s="143"/>
      <c r="L91" s="143"/>
      <c r="M91" s="143"/>
      <c r="N91" s="155" t="s">
        <v>172</v>
      </c>
    </row>
    <row r="92" spans="3:14" x14ac:dyDescent="0.2">
      <c r="C92" s="159"/>
      <c r="D92" s="26"/>
      <c r="E92" s="16"/>
      <c r="F92" s="80" t="s">
        <v>56</v>
      </c>
      <c r="G92" s="110">
        <f>'Benchmarking Calculations'!G57</f>
        <v>0</v>
      </c>
      <c r="H92" s="81">
        <f>SUM(H88:H91)</f>
        <v>0</v>
      </c>
      <c r="I92" s="81">
        <f t="shared" ref="I92:M92" si="6">SUM(I88:I91)</f>
        <v>0</v>
      </c>
      <c r="J92" s="81">
        <f t="shared" si="6"/>
        <v>0</v>
      </c>
      <c r="K92" s="81">
        <f t="shared" si="6"/>
        <v>0</v>
      </c>
      <c r="L92" s="81">
        <f t="shared" si="6"/>
        <v>0</v>
      </c>
      <c r="M92" s="81">
        <f t="shared" si="6"/>
        <v>0</v>
      </c>
      <c r="N92" s="160" t="s">
        <v>29</v>
      </c>
    </row>
    <row r="93" spans="3:14" x14ac:dyDescent="0.2">
      <c r="C93" s="159"/>
      <c r="D93" s="26"/>
      <c r="E93" s="78">
        <v>5605</v>
      </c>
      <c r="F93" s="78" t="s">
        <v>57</v>
      </c>
      <c r="G93" s="58">
        <f>'Benchmarking Calculations'!G58</f>
        <v>34192.49</v>
      </c>
      <c r="H93" s="142">
        <v>29191</v>
      </c>
      <c r="I93" s="142">
        <v>45568</v>
      </c>
      <c r="J93" s="143"/>
      <c r="K93" s="143"/>
      <c r="L93" s="143"/>
      <c r="M93" s="143"/>
      <c r="N93" s="155" t="s">
        <v>172</v>
      </c>
    </row>
    <row r="94" spans="3:14" x14ac:dyDescent="0.2">
      <c r="C94" s="159"/>
      <c r="D94" s="26"/>
      <c r="E94" s="78">
        <v>5610</v>
      </c>
      <c r="F94" s="78" t="s">
        <v>58</v>
      </c>
      <c r="G94" s="58">
        <f>'Benchmarking Calculations'!G59</f>
        <v>126349.8</v>
      </c>
      <c r="H94" s="142">
        <v>138077</v>
      </c>
      <c r="I94" s="142">
        <v>146733</v>
      </c>
      <c r="J94" s="143"/>
      <c r="K94" s="143"/>
      <c r="L94" s="143"/>
      <c r="M94" s="143"/>
      <c r="N94" s="155" t="s">
        <v>172</v>
      </c>
    </row>
    <row r="95" spans="3:14" x14ac:dyDescent="0.2">
      <c r="C95" s="159"/>
      <c r="D95" s="26"/>
      <c r="E95" s="78">
        <v>5615</v>
      </c>
      <c r="F95" s="78" t="s">
        <v>59</v>
      </c>
      <c r="G95" s="58">
        <f>'Benchmarking Calculations'!G60</f>
        <v>104931.8</v>
      </c>
      <c r="H95" s="142">
        <v>106628</v>
      </c>
      <c r="I95" s="142">
        <v>118729</v>
      </c>
      <c r="J95" s="143"/>
      <c r="K95" s="143"/>
      <c r="L95" s="143"/>
      <c r="M95" s="143"/>
      <c r="N95" s="155" t="s">
        <v>172</v>
      </c>
    </row>
    <row r="96" spans="3:14" x14ac:dyDescent="0.2">
      <c r="C96" s="159"/>
      <c r="D96" s="26"/>
      <c r="E96" s="78">
        <v>5620</v>
      </c>
      <c r="F96" s="78" t="s">
        <v>60</v>
      </c>
      <c r="G96" s="58">
        <f>'Benchmarking Calculations'!G61</f>
        <v>102652.29</v>
      </c>
      <c r="H96" s="142">
        <v>121011</v>
      </c>
      <c r="I96" s="142">
        <v>104392</v>
      </c>
      <c r="J96" s="143"/>
      <c r="K96" s="143"/>
      <c r="L96" s="143"/>
      <c r="M96" s="143"/>
      <c r="N96" s="155" t="s">
        <v>172</v>
      </c>
    </row>
    <row r="97" spans="3:14" x14ac:dyDescent="0.2">
      <c r="C97" s="159"/>
      <c r="D97" s="26"/>
      <c r="E97" s="78">
        <v>5625</v>
      </c>
      <c r="F97" s="78" t="s">
        <v>61</v>
      </c>
      <c r="G97" s="58">
        <f>'Benchmarking Calculations'!G62</f>
        <v>0</v>
      </c>
      <c r="H97" s="142"/>
      <c r="I97" s="142"/>
      <c r="J97" s="143"/>
      <c r="K97" s="143"/>
      <c r="L97" s="143"/>
      <c r="M97" s="143"/>
      <c r="N97" s="155" t="s">
        <v>172</v>
      </c>
    </row>
    <row r="98" spans="3:14" x14ac:dyDescent="0.2">
      <c r="C98" s="159"/>
      <c r="D98" s="26"/>
      <c r="E98" s="78">
        <v>5630</v>
      </c>
      <c r="F98" s="78" t="s">
        <v>62</v>
      </c>
      <c r="G98" s="58">
        <f>'Benchmarking Calculations'!G63</f>
        <v>193377.04</v>
      </c>
      <c r="H98" s="142">
        <v>211025</v>
      </c>
      <c r="I98" s="142">
        <v>113133</v>
      </c>
      <c r="J98" s="143"/>
      <c r="K98" s="143"/>
      <c r="L98" s="143"/>
      <c r="M98" s="143"/>
      <c r="N98" s="155" t="s">
        <v>172</v>
      </c>
    </row>
    <row r="99" spans="3:14" x14ac:dyDescent="0.2">
      <c r="C99" s="159"/>
      <c r="D99" s="26"/>
      <c r="E99" s="78">
        <v>5640</v>
      </c>
      <c r="F99" s="78" t="s">
        <v>63</v>
      </c>
      <c r="G99" s="58">
        <f>'Benchmarking Calculations'!G64</f>
        <v>0</v>
      </c>
      <c r="H99" s="142"/>
      <c r="I99" s="142"/>
      <c r="J99" s="143"/>
      <c r="K99" s="143"/>
      <c r="L99" s="143"/>
      <c r="M99" s="143"/>
      <c r="N99" s="155" t="s">
        <v>172</v>
      </c>
    </row>
    <row r="100" spans="3:14" x14ac:dyDescent="0.2">
      <c r="C100" s="159"/>
      <c r="D100" s="26"/>
      <c r="E100" s="78">
        <v>5645</v>
      </c>
      <c r="F100" s="78" t="s">
        <v>64</v>
      </c>
      <c r="G100" s="58">
        <f>'Benchmarking Calculations'!G65</f>
        <v>9220.36</v>
      </c>
      <c r="H100" s="142"/>
      <c r="I100" s="142"/>
      <c r="J100" s="143"/>
      <c r="K100" s="143"/>
      <c r="L100" s="143"/>
      <c r="M100" s="143"/>
      <c r="N100" s="155" t="s">
        <v>172</v>
      </c>
    </row>
    <row r="101" spans="3:14" x14ac:dyDescent="0.2">
      <c r="C101" s="159"/>
      <c r="D101" s="26"/>
      <c r="E101" s="78">
        <v>5646</v>
      </c>
      <c r="F101" s="78" t="s">
        <v>65</v>
      </c>
      <c r="G101" s="58">
        <f>'Benchmarking Calculations'!G66</f>
        <v>0</v>
      </c>
      <c r="H101" s="142"/>
      <c r="I101" s="142"/>
      <c r="J101" s="143"/>
      <c r="K101" s="143"/>
      <c r="L101" s="143"/>
      <c r="M101" s="143"/>
      <c r="N101" s="155" t="s">
        <v>172</v>
      </c>
    </row>
    <row r="102" spans="3:14" x14ac:dyDescent="0.2">
      <c r="C102" s="159"/>
      <c r="D102" s="26"/>
      <c r="E102" s="78">
        <v>5647</v>
      </c>
      <c r="F102" s="78" t="s">
        <v>66</v>
      </c>
      <c r="G102" s="58">
        <f>'Benchmarking Calculations'!G67</f>
        <v>0</v>
      </c>
      <c r="H102" s="142"/>
      <c r="I102" s="142"/>
      <c r="J102" s="143"/>
      <c r="K102" s="143"/>
      <c r="L102" s="143"/>
      <c r="M102" s="143"/>
      <c r="N102" s="155" t="s">
        <v>172</v>
      </c>
    </row>
    <row r="103" spans="3:14" x14ac:dyDescent="0.2">
      <c r="C103" s="159"/>
      <c r="D103" s="26"/>
      <c r="E103" s="78">
        <v>5650</v>
      </c>
      <c r="F103" s="78" t="s">
        <v>67</v>
      </c>
      <c r="G103" s="58">
        <f>'Benchmarking Calculations'!G68</f>
        <v>0</v>
      </c>
      <c r="H103" s="142"/>
      <c r="I103" s="142"/>
      <c r="J103" s="143"/>
      <c r="K103" s="143"/>
      <c r="L103" s="143"/>
      <c r="M103" s="143"/>
      <c r="N103" s="155" t="s">
        <v>172</v>
      </c>
    </row>
    <row r="104" spans="3:14" x14ac:dyDescent="0.2">
      <c r="C104" s="159"/>
      <c r="D104" s="26"/>
      <c r="E104" s="78">
        <v>5655</v>
      </c>
      <c r="F104" s="78" t="s">
        <v>68</v>
      </c>
      <c r="G104" s="58">
        <f>'Benchmarking Calculations'!G69</f>
        <v>25216.77</v>
      </c>
      <c r="H104" s="142">
        <v>28141.81</v>
      </c>
      <c r="I104" s="142">
        <v>47305</v>
      </c>
      <c r="J104" s="143"/>
      <c r="K104" s="143"/>
      <c r="L104" s="143"/>
      <c r="M104" s="143"/>
      <c r="N104" s="155" t="s">
        <v>172</v>
      </c>
    </row>
    <row r="105" spans="3:14" x14ac:dyDescent="0.2">
      <c r="C105" s="159"/>
      <c r="D105" s="26"/>
      <c r="E105" s="78">
        <v>5665</v>
      </c>
      <c r="F105" s="78" t="s">
        <v>69</v>
      </c>
      <c r="G105" s="58">
        <f>'Benchmarking Calculations'!G70</f>
        <v>9733.66</v>
      </c>
      <c r="H105" s="142">
        <v>7560</v>
      </c>
      <c r="I105" s="142">
        <v>8093</v>
      </c>
      <c r="J105" s="143"/>
      <c r="K105" s="143"/>
      <c r="L105" s="143"/>
      <c r="M105" s="143"/>
      <c r="N105" s="155" t="s">
        <v>172</v>
      </c>
    </row>
    <row r="106" spans="3:14" x14ac:dyDescent="0.2">
      <c r="C106" s="159"/>
      <c r="D106" s="26"/>
      <c r="E106" s="78">
        <v>5670</v>
      </c>
      <c r="F106" s="78" t="s">
        <v>70</v>
      </c>
      <c r="G106" s="58">
        <f>'Benchmarking Calculations'!G71</f>
        <v>0</v>
      </c>
      <c r="H106" s="142"/>
      <c r="I106" s="142"/>
      <c r="J106" s="143"/>
      <c r="K106" s="143"/>
      <c r="L106" s="143"/>
      <c r="M106" s="143"/>
      <c r="N106" s="155" t="s">
        <v>172</v>
      </c>
    </row>
    <row r="107" spans="3:14" x14ac:dyDescent="0.2">
      <c r="C107" s="159"/>
      <c r="D107" s="26"/>
      <c r="E107" s="78">
        <v>5672</v>
      </c>
      <c r="F107" s="78" t="s">
        <v>71</v>
      </c>
      <c r="G107" s="58">
        <f>'Benchmarking Calculations'!G72</f>
        <v>0</v>
      </c>
      <c r="H107" s="142"/>
      <c r="I107" s="142"/>
      <c r="J107" s="143"/>
      <c r="K107" s="143"/>
      <c r="L107" s="143"/>
      <c r="M107" s="143"/>
      <c r="N107" s="155" t="s">
        <v>172</v>
      </c>
    </row>
    <row r="108" spans="3:14" x14ac:dyDescent="0.2">
      <c r="C108" s="159"/>
      <c r="D108" s="26"/>
      <c r="E108" s="78">
        <v>5675</v>
      </c>
      <c r="F108" s="78" t="s">
        <v>72</v>
      </c>
      <c r="G108" s="58">
        <f>'Benchmarking Calculations'!G73</f>
        <v>0</v>
      </c>
      <c r="H108" s="142"/>
      <c r="I108" s="142"/>
      <c r="J108" s="143"/>
      <c r="K108" s="143"/>
      <c r="L108" s="143"/>
      <c r="M108" s="143"/>
      <c r="N108" s="155" t="s">
        <v>172</v>
      </c>
    </row>
    <row r="109" spans="3:14" x14ac:dyDescent="0.2">
      <c r="C109" s="159"/>
      <c r="D109" s="26"/>
      <c r="E109" s="111">
        <v>5680</v>
      </c>
      <c r="F109" s="111" t="s">
        <v>73</v>
      </c>
      <c r="G109" s="112">
        <f>'Benchmarking Calculations'!G74</f>
        <v>4146.4799999999996</v>
      </c>
      <c r="H109" s="142">
        <v>3854</v>
      </c>
      <c r="I109" s="142">
        <v>4356</v>
      </c>
      <c r="J109" s="143"/>
      <c r="K109" s="143"/>
      <c r="L109" s="143"/>
      <c r="M109" s="143"/>
      <c r="N109" s="155" t="s">
        <v>172</v>
      </c>
    </row>
    <row r="110" spans="3:14" x14ac:dyDescent="0.2">
      <c r="C110" s="159"/>
      <c r="D110" s="26"/>
      <c r="E110" s="13"/>
      <c r="F110" s="80" t="s">
        <v>74</v>
      </c>
      <c r="G110" s="110">
        <f>'Benchmarking Calculations'!G75</f>
        <v>609820.69000000006</v>
      </c>
      <c r="H110" s="81">
        <f>SUM(H93:H109)</f>
        <v>645487.81000000006</v>
      </c>
      <c r="I110" s="81">
        <f t="shared" ref="I110:M110" si="7">SUM(I93:I109)</f>
        <v>588309</v>
      </c>
      <c r="J110" s="81">
        <f t="shared" si="7"/>
        <v>0</v>
      </c>
      <c r="K110" s="81">
        <f t="shared" si="7"/>
        <v>0</v>
      </c>
      <c r="L110" s="81">
        <f t="shared" si="7"/>
        <v>0</v>
      </c>
      <c r="M110" s="81">
        <f t="shared" si="7"/>
        <v>0</v>
      </c>
      <c r="N110" s="160" t="s">
        <v>29</v>
      </c>
    </row>
    <row r="111" spans="3:14" x14ac:dyDescent="0.2">
      <c r="C111" s="159"/>
      <c r="D111" s="26"/>
      <c r="E111" s="78">
        <v>5635</v>
      </c>
      <c r="F111" s="78" t="s">
        <v>75</v>
      </c>
      <c r="G111" s="58">
        <f>'Benchmarking Calculations'!G76</f>
        <v>34417.56</v>
      </c>
      <c r="H111" s="142">
        <v>37530</v>
      </c>
      <c r="I111" s="142">
        <v>39692</v>
      </c>
      <c r="J111" s="143"/>
      <c r="K111" s="143"/>
      <c r="L111" s="143"/>
      <c r="M111" s="143"/>
      <c r="N111" s="155" t="s">
        <v>172</v>
      </c>
    </row>
    <row r="112" spans="3:14" x14ac:dyDescent="0.2">
      <c r="C112" s="159"/>
      <c r="D112" s="26"/>
      <c r="E112" s="111">
        <v>6210</v>
      </c>
      <c r="F112" s="111" t="s">
        <v>76</v>
      </c>
      <c r="G112" s="112">
        <f>'Benchmarking Calculations'!G77</f>
        <v>0</v>
      </c>
      <c r="H112" s="142"/>
      <c r="I112" s="142"/>
      <c r="J112" s="143"/>
      <c r="K112" s="143"/>
      <c r="L112" s="143"/>
      <c r="M112" s="143"/>
      <c r="N112" s="155" t="s">
        <v>172</v>
      </c>
    </row>
    <row r="113" spans="3:14" x14ac:dyDescent="0.2">
      <c r="C113" s="159"/>
      <c r="D113" s="26"/>
      <c r="E113" s="26"/>
      <c r="F113" s="80" t="s">
        <v>77</v>
      </c>
      <c r="G113" s="110">
        <f>'Benchmarking Calculations'!G78</f>
        <v>34417.56</v>
      </c>
      <c r="H113" s="81">
        <f>H111+H112</f>
        <v>37530</v>
      </c>
      <c r="I113" s="81">
        <f t="shared" ref="I113:M113" si="8">I111+I112</f>
        <v>39692</v>
      </c>
      <c r="J113" s="81">
        <f t="shared" si="8"/>
        <v>0</v>
      </c>
      <c r="K113" s="81">
        <f t="shared" si="8"/>
        <v>0</v>
      </c>
      <c r="L113" s="81">
        <f t="shared" si="8"/>
        <v>0</v>
      </c>
      <c r="M113" s="81">
        <f t="shared" si="8"/>
        <v>0</v>
      </c>
      <c r="N113" s="160" t="s">
        <v>29</v>
      </c>
    </row>
    <row r="114" spans="3:14" x14ac:dyDescent="0.2">
      <c r="C114" s="159"/>
      <c r="D114" s="26"/>
      <c r="E114" s="113">
        <v>5515</v>
      </c>
      <c r="F114" s="111" t="s">
        <v>78</v>
      </c>
      <c r="G114" s="112">
        <f>'Benchmarking Calculations'!G79</f>
        <v>0</v>
      </c>
      <c r="H114" s="142"/>
      <c r="I114" s="142"/>
      <c r="J114" s="143"/>
      <c r="K114" s="143"/>
      <c r="L114" s="143"/>
      <c r="M114" s="143"/>
      <c r="N114" s="155" t="s">
        <v>172</v>
      </c>
    </row>
    <row r="115" spans="3:14" x14ac:dyDescent="0.2">
      <c r="C115" s="159"/>
      <c r="D115" s="77"/>
      <c r="E115" s="16"/>
      <c r="F115" s="80" t="s">
        <v>79</v>
      </c>
      <c r="G115" s="110">
        <f>'Benchmarking Calculations'!G80</f>
        <v>0</v>
      </c>
      <c r="H115" s="81">
        <f>H114</f>
        <v>0</v>
      </c>
      <c r="I115" s="81">
        <f t="shared" ref="I115:M115" si="9">I114</f>
        <v>0</v>
      </c>
      <c r="J115" s="81">
        <f t="shared" si="9"/>
        <v>0</v>
      </c>
      <c r="K115" s="81">
        <f t="shared" si="9"/>
        <v>0</v>
      </c>
      <c r="L115" s="81">
        <f t="shared" si="9"/>
        <v>0</v>
      </c>
      <c r="M115" s="81">
        <f t="shared" si="9"/>
        <v>0</v>
      </c>
      <c r="N115" s="160" t="s">
        <v>29</v>
      </c>
    </row>
    <row r="116" spans="3:14" x14ac:dyDescent="0.2">
      <c r="C116" s="159"/>
      <c r="D116" s="77"/>
      <c r="E116" s="173" t="s">
        <v>199</v>
      </c>
      <c r="F116" s="80" t="s">
        <v>80</v>
      </c>
      <c r="G116" s="58">
        <f>'Benchmarking Calculations'!G81</f>
        <v>2224139.6800000006</v>
      </c>
      <c r="H116" s="81">
        <f>H115+H113+H110+H92+H87+H79+H65</f>
        <v>2478998.81</v>
      </c>
      <c r="I116" s="81">
        <f t="shared" ref="I116:M116" si="10">I115+I113+I110+I92+I87+I79+I65</f>
        <v>2661998</v>
      </c>
      <c r="J116" s="81">
        <f t="shared" si="10"/>
        <v>0</v>
      </c>
      <c r="K116" s="81">
        <f t="shared" si="10"/>
        <v>0</v>
      </c>
      <c r="L116" s="81">
        <f t="shared" si="10"/>
        <v>0</v>
      </c>
      <c r="M116" s="81">
        <f t="shared" si="10"/>
        <v>0</v>
      </c>
      <c r="N116" s="160" t="s">
        <v>29</v>
      </c>
    </row>
    <row r="117" spans="3:14" x14ac:dyDescent="0.2">
      <c r="C117" s="159"/>
      <c r="D117" s="77"/>
      <c r="E117" s="77"/>
      <c r="F117" s="80"/>
      <c r="G117" s="58"/>
      <c r="H117" s="91"/>
      <c r="I117" s="83"/>
      <c r="J117" s="26"/>
      <c r="K117" s="26"/>
      <c r="L117" s="26"/>
      <c r="M117" s="26"/>
      <c r="N117" s="155"/>
    </row>
    <row r="118" spans="3:14" x14ac:dyDescent="0.2">
      <c r="C118" s="159"/>
      <c r="D118" s="76" t="s">
        <v>81</v>
      </c>
      <c r="E118" s="77"/>
      <c r="F118" s="14"/>
      <c r="G118" s="58"/>
      <c r="H118" s="91"/>
      <c r="I118" s="26"/>
      <c r="J118" s="26"/>
      <c r="K118" s="26"/>
      <c r="L118" s="26"/>
      <c r="M118" s="26"/>
      <c r="N118" s="155"/>
    </row>
    <row r="119" spans="3:14" x14ac:dyDescent="0.2">
      <c r="C119" s="159"/>
      <c r="D119" s="84"/>
      <c r="E119" s="84"/>
      <c r="F119" s="59">
        <v>5014</v>
      </c>
      <c r="G119" s="58">
        <f>G48</f>
        <v>0</v>
      </c>
      <c r="H119" s="58">
        <f t="shared" ref="H119:L119" si="11">H48</f>
        <v>0</v>
      </c>
      <c r="I119" s="58">
        <f t="shared" si="11"/>
        <v>0</v>
      </c>
      <c r="J119" s="58">
        <f t="shared" si="11"/>
        <v>0</v>
      </c>
      <c r="K119" s="58">
        <f t="shared" si="11"/>
        <v>0</v>
      </c>
      <c r="L119" s="58">
        <f t="shared" si="11"/>
        <v>0</v>
      </c>
      <c r="M119" s="58">
        <f t="shared" ref="M119" si="12">M48</f>
        <v>0</v>
      </c>
      <c r="N119" s="160" t="s">
        <v>29</v>
      </c>
    </row>
    <row r="120" spans="3:14" x14ac:dyDescent="0.2">
      <c r="C120" s="159"/>
      <c r="D120" s="84"/>
      <c r="F120" s="59">
        <v>5015</v>
      </c>
      <c r="G120" s="58">
        <f>G49</f>
        <v>0</v>
      </c>
      <c r="H120" s="58">
        <f t="shared" ref="H120:L120" si="13">H49</f>
        <v>0</v>
      </c>
      <c r="I120" s="58">
        <f t="shared" si="13"/>
        <v>0</v>
      </c>
      <c r="J120" s="58">
        <f t="shared" si="13"/>
        <v>0</v>
      </c>
      <c r="K120" s="58">
        <f t="shared" si="13"/>
        <v>0</v>
      </c>
      <c r="L120" s="58">
        <f t="shared" si="13"/>
        <v>0</v>
      </c>
      <c r="M120" s="58">
        <f t="shared" ref="M120" si="14">M49</f>
        <v>0</v>
      </c>
      <c r="N120" s="160" t="s">
        <v>29</v>
      </c>
    </row>
    <row r="121" spans="3:14" x14ac:dyDescent="0.2">
      <c r="C121" s="159"/>
      <c r="D121" s="84"/>
      <c r="F121" s="59">
        <v>5112</v>
      </c>
      <c r="G121" s="58">
        <f>G68</f>
        <v>3596.37</v>
      </c>
      <c r="H121" s="58">
        <f>H68</f>
        <v>4208</v>
      </c>
      <c r="I121" s="58">
        <f>I68</f>
        <v>1550</v>
      </c>
      <c r="J121" s="58">
        <f t="shared" ref="I121:L121" si="15">J68</f>
        <v>0</v>
      </c>
      <c r="K121" s="58">
        <f t="shared" si="15"/>
        <v>0</v>
      </c>
      <c r="L121" s="58">
        <f t="shared" si="15"/>
        <v>0</v>
      </c>
      <c r="M121" s="58">
        <f t="shared" ref="M121" si="16">M68</f>
        <v>0</v>
      </c>
      <c r="N121" s="160" t="s">
        <v>29</v>
      </c>
    </row>
    <row r="122" spans="3:14" x14ac:dyDescent="0.2">
      <c r="C122" s="159"/>
      <c r="D122" s="77"/>
      <c r="E122" s="173" t="s">
        <v>200</v>
      </c>
      <c r="F122" s="80" t="s">
        <v>82</v>
      </c>
      <c r="G122" s="110">
        <f>'Benchmarking Calculations'!G87</f>
        <v>3596.37</v>
      </c>
      <c r="H122" s="110">
        <f>H48+H49+H68</f>
        <v>4208</v>
      </c>
      <c r="I122" s="110">
        <f t="shared" ref="I122:L122" si="17">I48+I49+I68</f>
        <v>1550</v>
      </c>
      <c r="J122" s="110">
        <f t="shared" si="17"/>
        <v>0</v>
      </c>
      <c r="K122" s="110">
        <f t="shared" si="17"/>
        <v>0</v>
      </c>
      <c r="L122" s="110">
        <f t="shared" si="17"/>
        <v>0</v>
      </c>
      <c r="M122" s="110">
        <f t="shared" ref="M122" si="18">M48+M49+M68</f>
        <v>0</v>
      </c>
      <c r="N122" s="174" t="s">
        <v>29</v>
      </c>
    </row>
    <row r="123" spans="3:14" x14ac:dyDescent="0.2">
      <c r="C123" s="159"/>
      <c r="D123" s="77"/>
      <c r="E123" s="175" t="s">
        <v>201</v>
      </c>
      <c r="F123" s="80" t="s">
        <v>83</v>
      </c>
      <c r="G123" s="110">
        <f>'Benchmarking Calculations'!G88</f>
        <v>72978.700500000006</v>
      </c>
      <c r="H123" s="176">
        <v>65779</v>
      </c>
      <c r="I123" s="176">
        <v>67814</v>
      </c>
      <c r="J123" s="176"/>
      <c r="K123" s="176"/>
      <c r="L123" s="176"/>
      <c r="M123" s="176"/>
      <c r="N123" s="177" t="s">
        <v>172</v>
      </c>
    </row>
    <row r="124" spans="3:14" ht="13.5" thickBot="1" x14ac:dyDescent="0.25">
      <c r="C124" s="161"/>
      <c r="D124" s="162"/>
      <c r="E124" s="162"/>
      <c r="F124" s="163"/>
      <c r="G124" s="157"/>
      <c r="H124" s="164"/>
      <c r="I124" s="165"/>
      <c r="J124" s="75"/>
      <c r="K124" s="75"/>
      <c r="L124" s="75"/>
      <c r="M124" s="75"/>
      <c r="N124" s="158"/>
    </row>
    <row r="125" spans="3:14" x14ac:dyDescent="0.2"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78"/>
    </row>
    <row r="126" spans="3:14" x14ac:dyDescent="0.2">
      <c r="I126">
        <v>2811998</v>
      </c>
    </row>
    <row r="127" spans="3:14" x14ac:dyDescent="0.2">
      <c r="I127" s="52">
        <f>+I126-I116</f>
        <v>150000</v>
      </c>
    </row>
    <row r="128" spans="3:14" x14ac:dyDescent="0.2">
      <c r="I128" s="52">
        <f>+I127-150000</f>
        <v>0</v>
      </c>
    </row>
    <row r="130" spans="9:9" x14ac:dyDescent="0.2">
      <c r="I130">
        <v>2757906</v>
      </c>
    </row>
    <row r="131" spans="9:9" x14ac:dyDescent="0.2">
      <c r="I131" s="52">
        <f>+I130-I116</f>
        <v>95908</v>
      </c>
    </row>
  </sheetData>
  <mergeCells count="6">
    <mergeCell ref="H35:M35"/>
    <mergeCell ref="C2:N2"/>
    <mergeCell ref="C3:N3"/>
    <mergeCell ref="J5:M5"/>
    <mergeCell ref="H9:M9"/>
    <mergeCell ref="H20:M20"/>
  </mergeCells>
  <pageMargins left="0.70866141732283472" right="0.70866141732283472" top="0.74803149606299213" bottom="0.74803149606299213" header="0.31496062992125984" footer="0.31496062992125984"/>
  <pageSetup scale="4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Calculations'!$P$3:$CI$3</xm:f>
          </x14:formula1>
          <xm:sqref>F5:F6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74"/>
  <sheetViews>
    <sheetView zoomScaleNormal="100" workbookViewId="0">
      <pane ySplit="5" topLeftCell="A102" activePane="bottomLeft" state="frozen"/>
      <selection activeCell="G33" sqref="G33"/>
      <selection pane="bottomLeft" activeCell="H122" sqref="H12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O1" s="127"/>
      <c r="P1" s="219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</row>
    <row r="2" spans="1:94" ht="21" thickTop="1" thickBot="1" x14ac:dyDescent="0.4">
      <c r="A2" s="1"/>
      <c r="B2" s="100"/>
      <c r="C2" s="3"/>
      <c r="D2" s="3"/>
      <c r="E2" s="10"/>
      <c r="R2" s="182"/>
      <c r="S2" s="182"/>
    </row>
    <row r="3" spans="1:94" ht="48.75" customHeight="1" thickBot="1" x14ac:dyDescent="0.25">
      <c r="B3" s="228" t="s">
        <v>1</v>
      </c>
      <c r="C3" s="228"/>
      <c r="D3" s="101"/>
      <c r="E3" s="102" t="str">
        <f>'Model Inputs'!F5</f>
        <v>Northern Ontario Wires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4" t="s">
        <v>204</v>
      </c>
      <c r="R3" s="184" t="s">
        <v>206</v>
      </c>
      <c r="S3" s="184" t="s">
        <v>207</v>
      </c>
      <c r="T3" s="184" t="s">
        <v>208</v>
      </c>
      <c r="U3" s="184" t="s">
        <v>209</v>
      </c>
      <c r="V3" s="184" t="s">
        <v>210</v>
      </c>
      <c r="W3" s="184" t="s">
        <v>211</v>
      </c>
      <c r="X3" s="184" t="s">
        <v>212</v>
      </c>
      <c r="Y3" s="184" t="s">
        <v>213</v>
      </c>
      <c r="Z3" s="184" t="s">
        <v>214</v>
      </c>
      <c r="AA3" s="184" t="s">
        <v>215</v>
      </c>
      <c r="AB3" s="184" t="s">
        <v>216</v>
      </c>
      <c r="AC3" s="184" t="s">
        <v>217</v>
      </c>
      <c r="AD3" s="184" t="s">
        <v>218</v>
      </c>
      <c r="AE3" s="184" t="s">
        <v>219</v>
      </c>
      <c r="AF3" s="184" t="s">
        <v>220</v>
      </c>
      <c r="AG3" s="184" t="s">
        <v>221</v>
      </c>
      <c r="AH3" s="184" t="s">
        <v>222</v>
      </c>
      <c r="AI3" s="184" t="s">
        <v>223</v>
      </c>
      <c r="AJ3" s="184" t="s">
        <v>224</v>
      </c>
      <c r="AK3" s="184" t="s">
        <v>225</v>
      </c>
      <c r="AL3" s="184" t="s">
        <v>226</v>
      </c>
      <c r="AM3" s="184" t="s">
        <v>227</v>
      </c>
      <c r="AN3" s="184" t="s">
        <v>228</v>
      </c>
      <c r="AO3" s="184" t="s">
        <v>229</v>
      </c>
      <c r="AP3" s="184" t="s">
        <v>230</v>
      </c>
      <c r="AQ3" s="184" t="s">
        <v>231</v>
      </c>
      <c r="AR3" s="184" t="s">
        <v>232</v>
      </c>
      <c r="AS3" s="184" t="s">
        <v>233</v>
      </c>
      <c r="AT3" s="184" t="s">
        <v>234</v>
      </c>
      <c r="AU3" s="184" t="s">
        <v>235</v>
      </c>
      <c r="AV3" s="184" t="s">
        <v>236</v>
      </c>
      <c r="AW3" s="184" t="s">
        <v>237</v>
      </c>
      <c r="AX3" s="184" t="s">
        <v>274</v>
      </c>
      <c r="AY3" s="184" t="s">
        <v>238</v>
      </c>
      <c r="AZ3" s="184" t="s">
        <v>239</v>
      </c>
      <c r="BA3" s="184" t="s">
        <v>240</v>
      </c>
      <c r="BB3" s="184" t="s">
        <v>241</v>
      </c>
      <c r="BC3" s="184" t="s">
        <v>242</v>
      </c>
      <c r="BD3" s="184" t="s">
        <v>243</v>
      </c>
      <c r="BE3" s="184" t="s">
        <v>244</v>
      </c>
      <c r="BF3" s="184" t="s">
        <v>245</v>
      </c>
      <c r="BG3" s="184" t="s">
        <v>246</v>
      </c>
      <c r="BH3" s="184" t="s">
        <v>247</v>
      </c>
      <c r="BI3" s="184" t="s">
        <v>248</v>
      </c>
      <c r="BJ3" s="184" t="s">
        <v>249</v>
      </c>
      <c r="BK3" s="184" t="s">
        <v>250</v>
      </c>
      <c r="BL3" s="184" t="s">
        <v>251</v>
      </c>
      <c r="BM3" s="184" t="s">
        <v>252</v>
      </c>
      <c r="BN3" s="184" t="s">
        <v>253</v>
      </c>
      <c r="BO3" s="184" t="s">
        <v>254</v>
      </c>
      <c r="BP3" s="184" t="s">
        <v>255</v>
      </c>
      <c r="BQ3" s="184" t="s">
        <v>256</v>
      </c>
      <c r="BR3" s="184" t="s">
        <v>257</v>
      </c>
      <c r="BS3" s="184" t="s">
        <v>258</v>
      </c>
      <c r="BT3" s="184" t="s">
        <v>259</v>
      </c>
      <c r="BU3" s="184" t="s">
        <v>260</v>
      </c>
      <c r="BV3" s="184" t="s">
        <v>261</v>
      </c>
      <c r="BW3" s="184" t="s">
        <v>262</v>
      </c>
      <c r="BX3" s="184" t="s">
        <v>263</v>
      </c>
      <c r="BY3" s="184" t="s">
        <v>264</v>
      </c>
      <c r="BZ3" s="184" t="s">
        <v>265</v>
      </c>
      <c r="CA3" s="184" t="s">
        <v>266</v>
      </c>
      <c r="CB3" s="184" t="s">
        <v>267</v>
      </c>
      <c r="CC3" s="184" t="s">
        <v>268</v>
      </c>
      <c r="CD3" s="184" t="s">
        <v>269</v>
      </c>
      <c r="CE3" s="184" t="s">
        <v>270</v>
      </c>
      <c r="CF3" s="184" t="s">
        <v>271</v>
      </c>
      <c r="CG3" s="184" t="s">
        <v>272</v>
      </c>
      <c r="CH3" s="184" t="s">
        <v>273</v>
      </c>
      <c r="CI3" s="184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29"/>
      <c r="G4" s="230"/>
      <c r="H4" s="231" t="s">
        <v>2</v>
      </c>
      <c r="I4" s="232"/>
      <c r="J4" s="232"/>
      <c r="K4" s="232"/>
      <c r="L4" s="232"/>
      <c r="M4" s="232"/>
      <c r="N4" s="38"/>
      <c r="O4" s="114">
        <v>2</v>
      </c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200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</row>
    <row r="7" spans="1:94" s="3" customFormat="1" ht="13.5" thickBot="1" x14ac:dyDescent="0.25">
      <c r="A7" s="227" t="s">
        <v>6</v>
      </c>
      <c r="B7" s="227"/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147"/>
      <c r="N7" s="58"/>
      <c r="O7" s="114">
        <v>5</v>
      </c>
      <c r="P7" s="114">
        <v>0</v>
      </c>
      <c r="Q7" s="99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103210.57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9">
        <v>0</v>
      </c>
      <c r="S10" s="179">
        <v>500084</v>
      </c>
      <c r="T10" s="179">
        <v>76315.44</v>
      </c>
      <c r="U10" s="179">
        <v>444659.3</v>
      </c>
      <c r="V10" s="179">
        <v>0</v>
      </c>
      <c r="W10" s="179">
        <v>106958.11</v>
      </c>
      <c r="X10" s="179">
        <v>70273.77</v>
      </c>
      <c r="Y10" s="179">
        <v>107595.38</v>
      </c>
      <c r="Z10" s="179">
        <v>0</v>
      </c>
      <c r="AA10" s="179">
        <v>156082.43</v>
      </c>
      <c r="AB10" s="179">
        <v>0</v>
      </c>
      <c r="AC10" s="179">
        <v>18298.29</v>
      </c>
      <c r="AD10" s="179">
        <v>1778155.62</v>
      </c>
      <c r="AE10" s="179">
        <v>491076.77</v>
      </c>
      <c r="AF10" s="179">
        <v>476444.79</v>
      </c>
      <c r="AG10" s="179">
        <v>42370.14</v>
      </c>
      <c r="AH10" s="179">
        <v>62934.39</v>
      </c>
      <c r="AI10" s="179">
        <v>84161.51</v>
      </c>
      <c r="AJ10" s="179">
        <v>153779.03</v>
      </c>
      <c r="AK10" s="179">
        <v>131685.41</v>
      </c>
      <c r="AL10" s="179">
        <v>972412.33</v>
      </c>
      <c r="AM10" s="179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0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9">
        <v>0</v>
      </c>
      <c r="S11" s="179">
        <v>387473</v>
      </c>
      <c r="T11" s="179">
        <v>0</v>
      </c>
      <c r="U11" s="179">
        <v>62941.95</v>
      </c>
      <c r="V11" s="179">
        <v>1511639.75</v>
      </c>
      <c r="W11" s="179">
        <v>636091.56999999995</v>
      </c>
      <c r="X11" s="179">
        <v>280923.67</v>
      </c>
      <c r="Y11" s="179">
        <v>24975.95</v>
      </c>
      <c r="Z11" s="179">
        <v>0</v>
      </c>
      <c r="AA11" s="179">
        <v>73255.360000000001</v>
      </c>
      <c r="AB11" s="179">
        <v>0</v>
      </c>
      <c r="AC11" s="179">
        <v>0</v>
      </c>
      <c r="AD11" s="179">
        <v>2479576.84</v>
      </c>
      <c r="AE11" s="179">
        <v>46199.77</v>
      </c>
      <c r="AF11" s="179">
        <v>118979.59</v>
      </c>
      <c r="AG11" s="179">
        <v>0</v>
      </c>
      <c r="AH11" s="179">
        <v>0</v>
      </c>
      <c r="AI11" s="179">
        <v>7839.09</v>
      </c>
      <c r="AJ11" s="179">
        <v>49168.35</v>
      </c>
      <c r="AK11" s="179">
        <v>0</v>
      </c>
      <c r="AL11" s="179">
        <v>715351.67</v>
      </c>
      <c r="AM11" s="179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2199.5100000000002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9">
        <v>0</v>
      </c>
      <c r="S12" s="179">
        <v>4705</v>
      </c>
      <c r="T12" s="179">
        <v>94199.99</v>
      </c>
      <c r="U12" s="179">
        <v>36705.4</v>
      </c>
      <c r="V12" s="179">
        <v>301748.73</v>
      </c>
      <c r="W12" s="179">
        <v>0</v>
      </c>
      <c r="X12" s="179">
        <v>152244.22</v>
      </c>
      <c r="Y12" s="179">
        <v>67863.289999999994</v>
      </c>
      <c r="Z12" s="179">
        <v>0</v>
      </c>
      <c r="AA12" s="179">
        <v>65716.69</v>
      </c>
      <c r="AB12" s="179">
        <v>1449.78</v>
      </c>
      <c r="AC12" s="179">
        <v>0</v>
      </c>
      <c r="AD12" s="179">
        <v>0</v>
      </c>
      <c r="AE12" s="179">
        <v>0</v>
      </c>
      <c r="AF12" s="179">
        <v>0</v>
      </c>
      <c r="AG12" s="179">
        <v>0</v>
      </c>
      <c r="AH12" s="179">
        <v>753.98</v>
      </c>
      <c r="AI12" s="179">
        <v>0</v>
      </c>
      <c r="AJ12" s="179">
        <v>18155.25</v>
      </c>
      <c r="AK12" s="179">
        <v>70603.27</v>
      </c>
      <c r="AL12" s="179">
        <v>322178.46000000002</v>
      </c>
      <c r="AM12" s="179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0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9">
        <v>0</v>
      </c>
      <c r="S13" s="179">
        <v>0</v>
      </c>
      <c r="T13" s="179">
        <v>0</v>
      </c>
      <c r="U13" s="179">
        <v>8005.07</v>
      </c>
      <c r="V13" s="179">
        <v>0</v>
      </c>
      <c r="W13" s="179">
        <v>22055.23</v>
      </c>
      <c r="X13" s="179">
        <v>0</v>
      </c>
      <c r="Y13" s="179">
        <v>0</v>
      </c>
      <c r="Z13" s="179">
        <v>0</v>
      </c>
      <c r="AA13" s="179">
        <v>0</v>
      </c>
      <c r="AB13" s="179">
        <v>0</v>
      </c>
      <c r="AC13" s="179">
        <v>0</v>
      </c>
      <c r="AD13" s="179">
        <v>0</v>
      </c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>
        <v>7387.15</v>
      </c>
      <c r="AK13" s="179">
        <v>4490.29</v>
      </c>
      <c r="AL13" s="179">
        <v>0</v>
      </c>
      <c r="AM13" s="179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0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9">
        <v>0</v>
      </c>
      <c r="S14" s="179">
        <v>0</v>
      </c>
      <c r="T14" s="179">
        <v>0</v>
      </c>
      <c r="U14" s="179">
        <v>83400.27</v>
      </c>
      <c r="V14" s="179">
        <v>0</v>
      </c>
      <c r="W14" s="179">
        <v>85552.02</v>
      </c>
      <c r="X14" s="179">
        <v>0</v>
      </c>
      <c r="Y14" s="179">
        <v>0</v>
      </c>
      <c r="Z14" s="179">
        <v>0</v>
      </c>
      <c r="AA14" s="179">
        <v>0</v>
      </c>
      <c r="AB14" s="179">
        <v>0</v>
      </c>
      <c r="AC14" s="179">
        <v>0</v>
      </c>
      <c r="AD14" s="179">
        <v>0</v>
      </c>
      <c r="AE14" s="179">
        <v>0</v>
      </c>
      <c r="AF14" s="179">
        <v>0</v>
      </c>
      <c r="AG14" s="179">
        <v>0</v>
      </c>
      <c r="AH14" s="179">
        <v>0</v>
      </c>
      <c r="AI14" s="179">
        <v>0</v>
      </c>
      <c r="AJ14" s="179">
        <v>148537.69</v>
      </c>
      <c r="AK14" s="179">
        <v>5970.43</v>
      </c>
      <c r="AL14" s="179">
        <v>0</v>
      </c>
      <c r="AM14" s="179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1490.22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9">
        <v>16315.94</v>
      </c>
      <c r="S15" s="179">
        <v>0</v>
      </c>
      <c r="T15" s="179">
        <v>2589.98</v>
      </c>
      <c r="U15" s="179">
        <v>2555.21</v>
      </c>
      <c r="V15" s="179">
        <v>651764.1</v>
      </c>
      <c r="W15" s="179">
        <v>0</v>
      </c>
      <c r="X15" s="179">
        <v>93016.13</v>
      </c>
      <c r="Y15" s="179">
        <v>101.9</v>
      </c>
      <c r="Z15" s="179">
        <v>3467.6</v>
      </c>
      <c r="AA15" s="179">
        <v>0</v>
      </c>
      <c r="AB15" s="179">
        <v>0</v>
      </c>
      <c r="AC15" s="179">
        <v>0</v>
      </c>
      <c r="AD15" s="179">
        <v>872128.85</v>
      </c>
      <c r="AE15" s="179">
        <v>42379.61</v>
      </c>
      <c r="AF15" s="179">
        <v>0</v>
      </c>
      <c r="AG15" s="179">
        <v>0</v>
      </c>
      <c r="AH15" s="179">
        <v>932.14</v>
      </c>
      <c r="AI15" s="179">
        <v>247.5</v>
      </c>
      <c r="AJ15" s="179">
        <v>0</v>
      </c>
      <c r="AK15" s="179">
        <v>0</v>
      </c>
      <c r="AL15" s="179">
        <v>321513.61</v>
      </c>
      <c r="AM15" s="179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9581.44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9">
        <v>13.07</v>
      </c>
      <c r="S16" s="179">
        <v>0</v>
      </c>
      <c r="T16" s="179">
        <v>513.78</v>
      </c>
      <c r="U16" s="179">
        <v>0</v>
      </c>
      <c r="V16" s="179">
        <v>468630.07</v>
      </c>
      <c r="W16" s="179">
        <v>0</v>
      </c>
      <c r="X16" s="179">
        <v>3434.57</v>
      </c>
      <c r="Y16" s="179">
        <v>15978.47</v>
      </c>
      <c r="Z16" s="179">
        <v>0</v>
      </c>
      <c r="AA16" s="179">
        <v>0</v>
      </c>
      <c r="AB16" s="179">
        <v>0</v>
      </c>
      <c r="AC16" s="179">
        <v>0</v>
      </c>
      <c r="AD16" s="179">
        <v>294111.08</v>
      </c>
      <c r="AE16" s="179">
        <v>32540.73</v>
      </c>
      <c r="AF16" s="179">
        <v>0</v>
      </c>
      <c r="AG16" s="179">
        <v>0</v>
      </c>
      <c r="AH16" s="179">
        <v>10833.07</v>
      </c>
      <c r="AI16" s="179">
        <v>36872.97</v>
      </c>
      <c r="AJ16" s="179">
        <v>0</v>
      </c>
      <c r="AK16" s="179">
        <v>0</v>
      </c>
      <c r="AL16" s="179">
        <v>118486.69</v>
      </c>
      <c r="AM16" s="179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38979.800000000003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9">
        <v>237816.35</v>
      </c>
      <c r="S17" s="179">
        <v>0</v>
      </c>
      <c r="T17" s="179">
        <v>97769.12</v>
      </c>
      <c r="U17" s="179">
        <v>7220.8</v>
      </c>
      <c r="V17" s="179">
        <v>378614.23</v>
      </c>
      <c r="W17" s="179">
        <v>143033.72</v>
      </c>
      <c r="X17" s="179">
        <v>86037.41</v>
      </c>
      <c r="Y17" s="179">
        <v>-26.33</v>
      </c>
      <c r="Z17" s="179">
        <v>171305.24</v>
      </c>
      <c r="AA17" s="179">
        <v>19881.82</v>
      </c>
      <c r="AB17" s="179">
        <v>0</v>
      </c>
      <c r="AC17" s="179">
        <v>37314.06</v>
      </c>
      <c r="AD17" s="179">
        <v>2398983.87</v>
      </c>
      <c r="AE17" s="179">
        <v>45064.24</v>
      </c>
      <c r="AF17" s="179">
        <v>0</v>
      </c>
      <c r="AG17" s="179">
        <v>0</v>
      </c>
      <c r="AH17" s="179">
        <v>94822.97</v>
      </c>
      <c r="AI17" s="179">
        <v>83959.64</v>
      </c>
      <c r="AJ17" s="179">
        <v>19541.2</v>
      </c>
      <c r="AK17" s="179">
        <v>13595.09</v>
      </c>
      <c r="AL17" s="179">
        <v>168246.88</v>
      </c>
      <c r="AM17" s="179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1171.1099999999999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9">
        <v>42046.85</v>
      </c>
      <c r="S18" s="179">
        <v>343025</v>
      </c>
      <c r="T18" s="179">
        <v>23770.21</v>
      </c>
      <c r="U18" s="179">
        <v>19758.25</v>
      </c>
      <c r="V18" s="179">
        <v>521537.31</v>
      </c>
      <c r="W18" s="179">
        <v>132881.39000000001</v>
      </c>
      <c r="X18" s="179">
        <v>29778.59</v>
      </c>
      <c r="Y18" s="179">
        <v>10230.18</v>
      </c>
      <c r="Z18" s="179">
        <v>30993.759999999998</v>
      </c>
      <c r="AA18" s="179">
        <v>24565.15</v>
      </c>
      <c r="AB18" s="179">
        <v>0</v>
      </c>
      <c r="AC18" s="179">
        <v>0</v>
      </c>
      <c r="AD18" s="179">
        <v>240826.39</v>
      </c>
      <c r="AE18" s="179">
        <v>15630.26</v>
      </c>
      <c r="AF18" s="179">
        <v>644050.23</v>
      </c>
      <c r="AG18" s="179">
        <v>0</v>
      </c>
      <c r="AH18" s="179">
        <v>35828.31</v>
      </c>
      <c r="AI18" s="179">
        <v>32834.75</v>
      </c>
      <c r="AJ18" s="179">
        <v>24110.5</v>
      </c>
      <c r="AK18" s="179">
        <v>0</v>
      </c>
      <c r="AL18" s="179">
        <v>406732.73</v>
      </c>
      <c r="AM18" s="179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10575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9">
        <v>0</v>
      </c>
      <c r="S19" s="179">
        <v>0</v>
      </c>
      <c r="T19" s="179">
        <v>5345.9</v>
      </c>
      <c r="U19" s="179">
        <v>-4749</v>
      </c>
      <c r="V19" s="179">
        <v>28708.04</v>
      </c>
      <c r="W19" s="179">
        <v>35806.660000000003</v>
      </c>
      <c r="X19" s="179">
        <v>31727.86</v>
      </c>
      <c r="Y19" s="179">
        <v>0</v>
      </c>
      <c r="Z19" s="179">
        <v>0</v>
      </c>
      <c r="AA19" s="179">
        <v>4115.41</v>
      </c>
      <c r="AB19" s="179">
        <v>1512.5</v>
      </c>
      <c r="AC19" s="179">
        <v>1010.61</v>
      </c>
      <c r="AD19" s="179">
        <v>0</v>
      </c>
      <c r="AE19" s="179">
        <v>857.82</v>
      </c>
      <c r="AF19" s="179">
        <v>23642.77</v>
      </c>
      <c r="AG19" s="179">
        <v>0</v>
      </c>
      <c r="AH19" s="179">
        <v>13181.5</v>
      </c>
      <c r="AI19" s="179">
        <v>27187.15</v>
      </c>
      <c r="AJ19" s="179">
        <v>6893.96</v>
      </c>
      <c r="AK19" s="179">
        <v>34.380000000000003</v>
      </c>
      <c r="AL19" s="179">
        <v>136768.70000000001</v>
      </c>
      <c r="AM19" s="179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0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9">
        <v>0</v>
      </c>
      <c r="S20" s="179">
        <v>1640076</v>
      </c>
      <c r="T20" s="179">
        <v>11277.56</v>
      </c>
      <c r="U20" s="179">
        <v>97561.13</v>
      </c>
      <c r="V20" s="179">
        <v>118921.13</v>
      </c>
      <c r="W20" s="179">
        <v>28883.11</v>
      </c>
      <c r="X20" s="179">
        <v>155482.63</v>
      </c>
      <c r="Y20" s="179">
        <v>0</v>
      </c>
      <c r="Z20" s="179">
        <v>0</v>
      </c>
      <c r="AA20" s="179">
        <v>0</v>
      </c>
      <c r="AB20" s="179">
        <v>0</v>
      </c>
      <c r="AC20" s="179">
        <v>180467.78</v>
      </c>
      <c r="AD20" s="179">
        <v>0</v>
      </c>
      <c r="AE20" s="179">
        <v>156904.78</v>
      </c>
      <c r="AF20" s="179">
        <v>0</v>
      </c>
      <c r="AG20" s="179">
        <v>0</v>
      </c>
      <c r="AH20" s="179">
        <v>48963.16</v>
      </c>
      <c r="AI20" s="179">
        <v>28568.84</v>
      </c>
      <c r="AJ20" s="179">
        <v>1006.63</v>
      </c>
      <c r="AK20" s="179">
        <v>32638.95</v>
      </c>
      <c r="AL20" s="179">
        <v>21921.59</v>
      </c>
      <c r="AM20" s="179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0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9">
        <v>0</v>
      </c>
      <c r="S21" s="179">
        <v>75024</v>
      </c>
      <c r="T21" s="179">
        <v>3587.75</v>
      </c>
      <c r="U21" s="179">
        <v>6266.71</v>
      </c>
      <c r="V21" s="179">
        <v>540432.06999999995</v>
      </c>
      <c r="W21" s="179">
        <v>71317.63</v>
      </c>
      <c r="X21" s="179">
        <v>10104.969999999999</v>
      </c>
      <c r="Y21" s="179">
        <v>0</v>
      </c>
      <c r="Z21" s="179">
        <v>0</v>
      </c>
      <c r="AA21" s="179">
        <v>0</v>
      </c>
      <c r="AB21" s="179">
        <v>0</v>
      </c>
      <c r="AC21" s="179">
        <v>0</v>
      </c>
      <c r="AD21" s="179">
        <v>0</v>
      </c>
      <c r="AE21" s="179">
        <v>79424.66</v>
      </c>
      <c r="AF21" s="179">
        <v>538842.15</v>
      </c>
      <c r="AG21" s="179">
        <v>0</v>
      </c>
      <c r="AH21" s="179">
        <v>11903.98</v>
      </c>
      <c r="AI21" s="179">
        <v>12019.36</v>
      </c>
      <c r="AJ21" s="179">
        <v>283.13</v>
      </c>
      <c r="AK21" s="179">
        <v>7052.55</v>
      </c>
      <c r="AL21" s="179">
        <v>33184.82</v>
      </c>
      <c r="AM21" s="179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1655.03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9">
        <v>0</v>
      </c>
      <c r="S22" s="179">
        <v>0</v>
      </c>
      <c r="T22" s="179">
        <v>21158.31</v>
      </c>
      <c r="U22" s="179">
        <v>9.8699999999999992</v>
      </c>
      <c r="V22" s="179">
        <v>272873.49</v>
      </c>
      <c r="W22" s="179">
        <v>61156.69</v>
      </c>
      <c r="X22" s="179">
        <v>7581.32</v>
      </c>
      <c r="Y22" s="179">
        <v>1441.85</v>
      </c>
      <c r="Z22" s="179">
        <v>0</v>
      </c>
      <c r="AA22" s="179">
        <v>0</v>
      </c>
      <c r="AB22" s="179">
        <v>0</v>
      </c>
      <c r="AC22" s="179">
        <v>3500.21</v>
      </c>
      <c r="AD22" s="179">
        <v>0</v>
      </c>
      <c r="AE22" s="179">
        <v>475.27</v>
      </c>
      <c r="AF22" s="179">
        <v>83870.600000000006</v>
      </c>
      <c r="AG22" s="179">
        <v>0</v>
      </c>
      <c r="AH22" s="179">
        <v>4862.6400000000003</v>
      </c>
      <c r="AI22" s="179">
        <v>29131.46</v>
      </c>
      <c r="AJ22" s="179">
        <v>3007.78</v>
      </c>
      <c r="AK22" s="179">
        <v>0</v>
      </c>
      <c r="AL22" s="179">
        <v>172138.65</v>
      </c>
      <c r="AM22" s="179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14790.21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9">
        <v>11121.92</v>
      </c>
      <c r="S23" s="179">
        <v>400579</v>
      </c>
      <c r="T23" s="179">
        <v>50738.67</v>
      </c>
      <c r="U23" s="179">
        <v>417822.81</v>
      </c>
      <c r="V23" s="179">
        <v>160776.12</v>
      </c>
      <c r="W23" s="179">
        <v>789701.74</v>
      </c>
      <c r="X23" s="179">
        <v>359286.58</v>
      </c>
      <c r="Y23" s="179">
        <v>33526.61</v>
      </c>
      <c r="Z23" s="179">
        <v>572.37</v>
      </c>
      <c r="AA23" s="179">
        <v>3139.16</v>
      </c>
      <c r="AB23" s="179">
        <v>1595</v>
      </c>
      <c r="AC23" s="179">
        <v>16919.88</v>
      </c>
      <c r="AD23" s="179">
        <v>0</v>
      </c>
      <c r="AE23" s="179">
        <v>200800.63</v>
      </c>
      <c r="AF23" s="179">
        <v>369244.3</v>
      </c>
      <c r="AG23" s="179">
        <v>0</v>
      </c>
      <c r="AH23" s="179">
        <v>5025.8900000000003</v>
      </c>
      <c r="AI23" s="179">
        <v>194414.63</v>
      </c>
      <c r="AJ23" s="179">
        <v>271870.27</v>
      </c>
      <c r="AK23" s="179">
        <v>20108.07</v>
      </c>
      <c r="AL23" s="179">
        <v>628104.67000000004</v>
      </c>
      <c r="AM23" s="179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127530.38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9">
        <v>0</v>
      </c>
      <c r="S24" s="179">
        <v>0</v>
      </c>
      <c r="T24" s="179">
        <v>140240.14000000001</v>
      </c>
      <c r="U24" s="179">
        <v>267.35000000000002</v>
      </c>
      <c r="V24" s="179">
        <v>245143.09</v>
      </c>
      <c r="W24" s="179">
        <v>17409.95</v>
      </c>
      <c r="X24" s="179">
        <v>4289.04</v>
      </c>
      <c r="Y24" s="179">
        <v>0</v>
      </c>
      <c r="Z24" s="179">
        <v>0</v>
      </c>
      <c r="AA24" s="179">
        <v>0</v>
      </c>
      <c r="AB24" s="179">
        <v>0</v>
      </c>
      <c r="AC24" s="179">
        <v>0</v>
      </c>
      <c r="AD24" s="179">
        <v>1244843.8400000001</v>
      </c>
      <c r="AE24" s="179">
        <v>14566.25</v>
      </c>
      <c r="AF24" s="179">
        <v>0</v>
      </c>
      <c r="AG24" s="179">
        <v>0</v>
      </c>
      <c r="AH24" s="179">
        <v>27902.86</v>
      </c>
      <c r="AI24" s="179">
        <v>524824.37</v>
      </c>
      <c r="AJ24" s="179">
        <v>186535.72</v>
      </c>
      <c r="AK24" s="179">
        <v>0</v>
      </c>
      <c r="AL24" s="179">
        <v>634454.57999999996</v>
      </c>
      <c r="AM24" s="179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42767.41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9">
        <v>0</v>
      </c>
      <c r="S25" s="179">
        <v>0</v>
      </c>
      <c r="T25" s="179">
        <v>-1863.36</v>
      </c>
      <c r="U25" s="179">
        <v>58</v>
      </c>
      <c r="V25" s="179">
        <v>73859.12</v>
      </c>
      <c r="W25" s="179">
        <v>8062.13</v>
      </c>
      <c r="X25" s="179">
        <v>4194.8900000000003</v>
      </c>
      <c r="Y25" s="179">
        <v>0</v>
      </c>
      <c r="Z25" s="179">
        <v>0</v>
      </c>
      <c r="AA25" s="179">
        <v>0</v>
      </c>
      <c r="AB25" s="179">
        <v>25524.58</v>
      </c>
      <c r="AC25" s="179">
        <v>0</v>
      </c>
      <c r="AD25" s="179">
        <v>24026.42</v>
      </c>
      <c r="AE25" s="179">
        <v>6259.65</v>
      </c>
      <c r="AF25" s="179">
        <v>7364.24</v>
      </c>
      <c r="AG25" s="179">
        <v>0</v>
      </c>
      <c r="AH25" s="179">
        <v>823.92</v>
      </c>
      <c r="AI25" s="179">
        <v>0</v>
      </c>
      <c r="AJ25" s="179">
        <v>6704.43</v>
      </c>
      <c r="AK25" s="179">
        <v>463</v>
      </c>
      <c r="AL25" s="179">
        <v>0</v>
      </c>
      <c r="AM25" s="179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220792.94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9">
        <v>14931.93</v>
      </c>
      <c r="S26" s="179">
        <v>426845</v>
      </c>
      <c r="T26" s="179">
        <v>168205.01</v>
      </c>
      <c r="U26" s="179">
        <v>367975.08</v>
      </c>
      <c r="V26" s="179">
        <v>0</v>
      </c>
      <c r="W26" s="179">
        <v>0</v>
      </c>
      <c r="X26" s="179">
        <v>370142.85</v>
      </c>
      <c r="Y26" s="179">
        <v>54618.14</v>
      </c>
      <c r="Z26" s="179">
        <v>0</v>
      </c>
      <c r="AA26" s="179">
        <v>202129.65</v>
      </c>
      <c r="AB26" s="179">
        <v>9682.09</v>
      </c>
      <c r="AC26" s="179">
        <v>0</v>
      </c>
      <c r="AD26" s="179">
        <v>2888634.55</v>
      </c>
      <c r="AE26" s="179">
        <v>0</v>
      </c>
      <c r="AF26" s="179">
        <v>102221.69</v>
      </c>
      <c r="AG26" s="179">
        <v>85389.08</v>
      </c>
      <c r="AH26" s="179">
        <v>7201.43</v>
      </c>
      <c r="AI26" s="179">
        <v>46809.09</v>
      </c>
      <c r="AJ26" s="179">
        <v>2099.37</v>
      </c>
      <c r="AK26" s="179">
        <v>140643.99</v>
      </c>
      <c r="AL26" s="179">
        <v>1240469.1299999999</v>
      </c>
      <c r="AM26" s="179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6926.2</v>
      </c>
      <c r="Y27" s="179">
        <v>0</v>
      </c>
      <c r="Z27" s="179"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v>0</v>
      </c>
      <c r="AF27" s="179">
        <v>0</v>
      </c>
      <c r="AG27" s="179">
        <v>0</v>
      </c>
      <c r="AH27" s="179">
        <v>0</v>
      </c>
      <c r="AI27" s="179">
        <v>0</v>
      </c>
      <c r="AJ27" s="179">
        <v>0</v>
      </c>
      <c r="AK27" s="179">
        <v>0</v>
      </c>
      <c r="AL27" s="179">
        <v>0</v>
      </c>
      <c r="AM27" s="179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13106.28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9">
        <v>700.61</v>
      </c>
      <c r="S28" s="179">
        <v>13751</v>
      </c>
      <c r="T28" s="179">
        <v>17491.52</v>
      </c>
      <c r="U28" s="179">
        <v>0</v>
      </c>
      <c r="V28" s="179">
        <v>51857.63</v>
      </c>
      <c r="W28" s="179">
        <v>30365.29</v>
      </c>
      <c r="X28" s="179">
        <v>37240.44</v>
      </c>
      <c r="Y28" s="179">
        <v>6172.31</v>
      </c>
      <c r="Z28" s="179">
        <v>1900.34</v>
      </c>
      <c r="AA28" s="179">
        <v>0</v>
      </c>
      <c r="AB28" s="179">
        <v>0</v>
      </c>
      <c r="AC28" s="179">
        <v>5578.69</v>
      </c>
      <c r="AD28" s="179">
        <v>0</v>
      </c>
      <c r="AE28" s="179">
        <v>0</v>
      </c>
      <c r="AF28" s="179">
        <v>0</v>
      </c>
      <c r="AG28" s="179">
        <v>0</v>
      </c>
      <c r="AH28" s="179">
        <v>14622.9</v>
      </c>
      <c r="AI28" s="179">
        <v>0</v>
      </c>
      <c r="AJ28" s="179">
        <v>5564.1</v>
      </c>
      <c r="AK28" s="179">
        <v>0</v>
      </c>
      <c r="AL28" s="179">
        <v>90377.74</v>
      </c>
      <c r="AM28" s="179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634.88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9">
        <v>0</v>
      </c>
      <c r="S29" s="179">
        <v>0</v>
      </c>
      <c r="T29" s="179">
        <v>0</v>
      </c>
      <c r="U29" s="179">
        <v>3900</v>
      </c>
      <c r="V29" s="179">
        <v>0</v>
      </c>
      <c r="W29" s="179">
        <v>0</v>
      </c>
      <c r="X29" s="179">
        <v>0</v>
      </c>
      <c r="Y29" s="179">
        <v>0</v>
      </c>
      <c r="Z29" s="179">
        <v>0</v>
      </c>
      <c r="AA29" s="179">
        <v>172800</v>
      </c>
      <c r="AB29" s="179">
        <v>0</v>
      </c>
      <c r="AC29" s="179">
        <v>0</v>
      </c>
      <c r="AD29" s="179">
        <v>104159.05</v>
      </c>
      <c r="AE29" s="179">
        <v>0</v>
      </c>
      <c r="AF29" s="179">
        <v>0</v>
      </c>
      <c r="AG29" s="179">
        <v>810</v>
      </c>
      <c r="AH29" s="179">
        <v>0</v>
      </c>
      <c r="AI29" s="179">
        <v>65710.39</v>
      </c>
      <c r="AJ29" s="179">
        <v>0</v>
      </c>
      <c r="AK29" s="179">
        <v>0</v>
      </c>
      <c r="AL29" s="179">
        <v>0</v>
      </c>
      <c r="AM29" s="179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588484.78000000014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9">
        <v>322946.67</v>
      </c>
      <c r="S30" s="179">
        <v>3791562</v>
      </c>
      <c r="T30" s="179">
        <v>711340.02000000014</v>
      </c>
      <c r="U30" s="179">
        <v>1554358.2000000002</v>
      </c>
      <c r="V30" s="179">
        <v>5326504.88</v>
      </c>
      <c r="W30" s="179">
        <v>2169275.2400000002</v>
      </c>
      <c r="X30" s="179">
        <v>1702685.14</v>
      </c>
      <c r="Y30" s="179">
        <v>322477.75</v>
      </c>
      <c r="Z30" s="179">
        <v>208239.31</v>
      </c>
      <c r="AA30" s="179">
        <v>721685.66999999993</v>
      </c>
      <c r="AB30" s="179">
        <v>39763.949999999997</v>
      </c>
      <c r="AC30" s="179">
        <v>263089.51999999996</v>
      </c>
      <c r="AD30" s="179">
        <v>12325446.510000002</v>
      </c>
      <c r="AE30" s="179">
        <v>1132180.44</v>
      </c>
      <c r="AF30" s="179">
        <v>2364660.36</v>
      </c>
      <c r="AG30" s="179">
        <v>128569.22</v>
      </c>
      <c r="AH30" s="179">
        <v>340593.14</v>
      </c>
      <c r="AI30" s="179">
        <v>1174580.75</v>
      </c>
      <c r="AJ30" s="179">
        <v>904644.56</v>
      </c>
      <c r="AK30" s="179">
        <v>427285.43</v>
      </c>
      <c r="AL30" s="179">
        <v>5982342.2499999991</v>
      </c>
      <c r="AM30" s="179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9914.25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9">
        <v>0</v>
      </c>
      <c r="S31" s="179">
        <v>0</v>
      </c>
      <c r="T31" s="179">
        <v>76803.62</v>
      </c>
      <c r="U31" s="179">
        <v>81810.210000000006</v>
      </c>
      <c r="V31" s="179">
        <v>0</v>
      </c>
      <c r="W31" s="179">
        <v>0</v>
      </c>
      <c r="X31" s="179">
        <v>33811.9</v>
      </c>
      <c r="Y31" s="179">
        <v>43284.33</v>
      </c>
      <c r="Z31" s="179">
        <v>0</v>
      </c>
      <c r="AA31" s="179">
        <v>105173.89</v>
      </c>
      <c r="AB31" s="179">
        <v>0</v>
      </c>
      <c r="AC31" s="179">
        <v>0</v>
      </c>
      <c r="AD31" s="179">
        <v>0</v>
      </c>
      <c r="AE31" s="179">
        <v>474071.66</v>
      </c>
      <c r="AF31" s="179">
        <v>0</v>
      </c>
      <c r="AG31" s="179">
        <v>0</v>
      </c>
      <c r="AH31" s="179">
        <v>40769.99</v>
      </c>
      <c r="AI31" s="179">
        <v>369946.43</v>
      </c>
      <c r="AJ31" s="179">
        <v>0</v>
      </c>
      <c r="AK31" s="179">
        <v>40472.83</v>
      </c>
      <c r="AL31" s="179">
        <v>0</v>
      </c>
      <c r="AM31" s="179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67.34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9">
        <v>0</v>
      </c>
      <c r="S32" s="179">
        <v>0</v>
      </c>
      <c r="T32" s="179">
        <v>59976.18</v>
      </c>
      <c r="U32" s="179">
        <v>7200.57</v>
      </c>
      <c r="V32" s="179">
        <v>138933.73000000001</v>
      </c>
      <c r="W32" s="179">
        <v>0</v>
      </c>
      <c r="X32" s="179">
        <v>44791.86</v>
      </c>
      <c r="Y32" s="179">
        <v>0</v>
      </c>
      <c r="Z32" s="179">
        <v>0</v>
      </c>
      <c r="AA32" s="179">
        <v>4565.47</v>
      </c>
      <c r="AB32" s="179">
        <v>7947.74</v>
      </c>
      <c r="AC32" s="179">
        <v>0</v>
      </c>
      <c r="AD32" s="179">
        <v>0</v>
      </c>
      <c r="AE32" s="179">
        <v>0</v>
      </c>
      <c r="AF32" s="179">
        <v>0</v>
      </c>
      <c r="AG32" s="179">
        <v>62772.34</v>
      </c>
      <c r="AH32" s="179">
        <v>4392.6400000000003</v>
      </c>
      <c r="AI32" s="179">
        <v>0</v>
      </c>
      <c r="AJ32" s="179">
        <v>4946.82</v>
      </c>
      <c r="AK32" s="179">
        <v>0</v>
      </c>
      <c r="AL32" s="179">
        <v>45460.5</v>
      </c>
      <c r="AM32" s="179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3596.37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9">
        <v>0</v>
      </c>
      <c r="S33" s="179">
        <v>0</v>
      </c>
      <c r="T33" s="179">
        <v>62985.83</v>
      </c>
      <c r="U33" s="179">
        <v>0</v>
      </c>
      <c r="V33" s="179">
        <v>0</v>
      </c>
      <c r="W33" s="179">
        <v>22353.05</v>
      </c>
      <c r="X33" s="179">
        <v>0</v>
      </c>
      <c r="Y33" s="179">
        <v>0</v>
      </c>
      <c r="Z33" s="179">
        <v>0</v>
      </c>
      <c r="AA33" s="179">
        <v>0</v>
      </c>
      <c r="AB33" s="179">
        <v>0</v>
      </c>
      <c r="AC33" s="179">
        <v>0</v>
      </c>
      <c r="AD33" s="179">
        <v>0</v>
      </c>
      <c r="AE33" s="179">
        <v>0</v>
      </c>
      <c r="AF33" s="179">
        <v>279788.24</v>
      </c>
      <c r="AG33" s="179">
        <v>53287.28</v>
      </c>
      <c r="AH33" s="179">
        <v>0</v>
      </c>
      <c r="AI33" s="179">
        <v>0</v>
      </c>
      <c r="AJ33" s="179">
        <v>0</v>
      </c>
      <c r="AK33" s="179">
        <v>0</v>
      </c>
      <c r="AL33" s="179">
        <v>0</v>
      </c>
      <c r="AM33" s="179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7808.04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9">
        <v>6769.92</v>
      </c>
      <c r="S34" s="179">
        <v>76514</v>
      </c>
      <c r="T34" s="179">
        <v>1222.4100000000001</v>
      </c>
      <c r="U34" s="179">
        <v>3639.94</v>
      </c>
      <c r="V34" s="179">
        <v>3546.07</v>
      </c>
      <c r="W34" s="179">
        <v>0</v>
      </c>
      <c r="X34" s="179">
        <v>192234.54</v>
      </c>
      <c r="Y34" s="179">
        <v>12225.62</v>
      </c>
      <c r="Z34" s="179">
        <v>0</v>
      </c>
      <c r="AA34" s="179">
        <v>35930.61</v>
      </c>
      <c r="AB34" s="179">
        <v>5093.05</v>
      </c>
      <c r="AC34" s="179">
        <v>0</v>
      </c>
      <c r="AD34" s="179">
        <v>0</v>
      </c>
      <c r="AE34" s="179">
        <v>109248.52</v>
      </c>
      <c r="AF34" s="179">
        <v>104492.04</v>
      </c>
      <c r="AG34" s="179">
        <v>0</v>
      </c>
      <c r="AH34" s="179">
        <v>13968.58</v>
      </c>
      <c r="AI34" s="179">
        <v>300</v>
      </c>
      <c r="AJ34" s="179">
        <v>670.65</v>
      </c>
      <c r="AK34" s="179">
        <v>28422.37</v>
      </c>
      <c r="AL34" s="179">
        <v>159993.48000000001</v>
      </c>
      <c r="AM34" s="179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26970.27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9">
        <v>0</v>
      </c>
      <c r="S35" s="179">
        <v>3835</v>
      </c>
      <c r="T35" s="179">
        <v>30322.22</v>
      </c>
      <c r="U35" s="179">
        <v>55725.75</v>
      </c>
      <c r="V35" s="179">
        <v>184909.56</v>
      </c>
      <c r="W35" s="179">
        <v>39719.79</v>
      </c>
      <c r="X35" s="179">
        <v>85079.6</v>
      </c>
      <c r="Y35" s="179">
        <v>13107.17</v>
      </c>
      <c r="Z35" s="179">
        <v>0</v>
      </c>
      <c r="AA35" s="179">
        <v>91285.74</v>
      </c>
      <c r="AB35" s="179">
        <v>2693</v>
      </c>
      <c r="AC35" s="179">
        <v>12302.31</v>
      </c>
      <c r="AD35" s="179">
        <v>0</v>
      </c>
      <c r="AE35" s="179">
        <v>162024.95999999999</v>
      </c>
      <c r="AF35" s="179">
        <v>0</v>
      </c>
      <c r="AG35" s="179">
        <v>56496.7</v>
      </c>
      <c r="AH35" s="179">
        <v>7308.58</v>
      </c>
      <c r="AI35" s="179">
        <v>34878.769999999997</v>
      </c>
      <c r="AJ35" s="179">
        <v>64492.72</v>
      </c>
      <c r="AK35" s="179">
        <v>41705.480000000003</v>
      </c>
      <c r="AL35" s="179">
        <v>214280.77</v>
      </c>
      <c r="AM35" s="179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143750.5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9">
        <v>480</v>
      </c>
      <c r="S36" s="179">
        <v>78864</v>
      </c>
      <c r="T36" s="179">
        <v>163820.96</v>
      </c>
      <c r="U36" s="179">
        <v>200915.67</v>
      </c>
      <c r="V36" s="179">
        <v>1092957.54</v>
      </c>
      <c r="W36" s="179">
        <v>500336.5</v>
      </c>
      <c r="X36" s="179">
        <v>323488.53999999998</v>
      </c>
      <c r="Y36" s="179">
        <v>11728.62</v>
      </c>
      <c r="Z36" s="179">
        <v>0</v>
      </c>
      <c r="AA36" s="179">
        <v>354023.63</v>
      </c>
      <c r="AB36" s="179">
        <v>4521.75</v>
      </c>
      <c r="AC36" s="179">
        <v>151180.76999999999</v>
      </c>
      <c r="AD36" s="179">
        <v>3267818.11</v>
      </c>
      <c r="AE36" s="179">
        <v>377820.97</v>
      </c>
      <c r="AF36" s="179">
        <v>0</v>
      </c>
      <c r="AG36" s="179">
        <v>0</v>
      </c>
      <c r="AH36" s="179">
        <v>46203.19</v>
      </c>
      <c r="AI36" s="179">
        <v>159428.98000000001</v>
      </c>
      <c r="AJ36" s="179">
        <v>79683.23</v>
      </c>
      <c r="AK36" s="179">
        <v>63367.3</v>
      </c>
      <c r="AL36" s="179">
        <v>332020.59999999998</v>
      </c>
      <c r="AM36" s="179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105866.96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9">
        <v>179.74</v>
      </c>
      <c r="S37" s="179">
        <v>1350</v>
      </c>
      <c r="T37" s="179">
        <v>60916.82</v>
      </c>
      <c r="U37" s="179">
        <v>348454.26</v>
      </c>
      <c r="V37" s="179">
        <v>240384.79</v>
      </c>
      <c r="W37" s="179">
        <v>318230.56</v>
      </c>
      <c r="X37" s="179">
        <v>272975.89</v>
      </c>
      <c r="Y37" s="179">
        <v>27419.25</v>
      </c>
      <c r="Z37" s="179">
        <v>0</v>
      </c>
      <c r="AA37" s="179">
        <v>154567.09</v>
      </c>
      <c r="AB37" s="179">
        <v>0</v>
      </c>
      <c r="AC37" s="179">
        <v>48857.25</v>
      </c>
      <c r="AD37" s="179">
        <v>0</v>
      </c>
      <c r="AE37" s="179">
        <v>179371.86</v>
      </c>
      <c r="AF37" s="179">
        <v>411745.24</v>
      </c>
      <c r="AG37" s="179">
        <v>165309.92000000001</v>
      </c>
      <c r="AH37" s="179">
        <v>32260.3</v>
      </c>
      <c r="AI37" s="179">
        <v>139342.53</v>
      </c>
      <c r="AJ37" s="179">
        <v>709316.32</v>
      </c>
      <c r="AK37" s="179">
        <v>5048.43</v>
      </c>
      <c r="AL37" s="179">
        <v>297737.45</v>
      </c>
      <c r="AM37" s="179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81751.75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9">
        <v>62820.160000000003</v>
      </c>
      <c r="S38" s="179">
        <v>0</v>
      </c>
      <c r="T38" s="179">
        <v>132083.17000000001</v>
      </c>
      <c r="U38" s="179">
        <v>386926.81</v>
      </c>
      <c r="V38" s="179">
        <v>720220.44</v>
      </c>
      <c r="W38" s="179">
        <v>368425.65</v>
      </c>
      <c r="X38" s="179">
        <v>464164.87</v>
      </c>
      <c r="Y38" s="179">
        <v>62947.87</v>
      </c>
      <c r="Z38" s="179">
        <v>0</v>
      </c>
      <c r="AA38" s="179">
        <v>168298.9</v>
      </c>
      <c r="AB38" s="179">
        <v>5995</v>
      </c>
      <c r="AC38" s="179">
        <v>320686.77</v>
      </c>
      <c r="AD38" s="179">
        <v>863795.36</v>
      </c>
      <c r="AE38" s="179">
        <v>179524.08</v>
      </c>
      <c r="AF38" s="179">
        <v>689860.26</v>
      </c>
      <c r="AG38" s="179">
        <v>136952.24</v>
      </c>
      <c r="AH38" s="179">
        <v>62555.37</v>
      </c>
      <c r="AI38" s="179">
        <v>536618.78</v>
      </c>
      <c r="AJ38" s="179">
        <v>161383.34</v>
      </c>
      <c r="AK38" s="179">
        <v>68501.72</v>
      </c>
      <c r="AL38" s="179">
        <v>440103.71</v>
      </c>
      <c r="AM38" s="179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12084.19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9">
        <v>0</v>
      </c>
      <c r="S39" s="179">
        <v>861</v>
      </c>
      <c r="T39" s="179">
        <v>599.91999999999996</v>
      </c>
      <c r="U39" s="179">
        <v>25622.9</v>
      </c>
      <c r="V39" s="179">
        <v>167530.62</v>
      </c>
      <c r="W39" s="179">
        <v>70519.490000000005</v>
      </c>
      <c r="X39" s="179">
        <v>4650.9399999999996</v>
      </c>
      <c r="Y39" s="179">
        <v>1406.16</v>
      </c>
      <c r="Z39" s="179">
        <v>0</v>
      </c>
      <c r="AA39" s="179">
        <v>-612.54999999999995</v>
      </c>
      <c r="AB39" s="179">
        <v>0</v>
      </c>
      <c r="AC39" s="179">
        <v>0</v>
      </c>
      <c r="AD39" s="179">
        <v>0</v>
      </c>
      <c r="AE39" s="179">
        <v>1055.25</v>
      </c>
      <c r="AF39" s="179">
        <v>0</v>
      </c>
      <c r="AG39" s="179">
        <v>0</v>
      </c>
      <c r="AH39" s="179">
        <v>130.9</v>
      </c>
      <c r="AI39" s="179">
        <v>0</v>
      </c>
      <c r="AJ39" s="179">
        <v>23297.63</v>
      </c>
      <c r="AK39" s="179">
        <v>0</v>
      </c>
      <c r="AL39" s="179">
        <v>144720.10999999999</v>
      </c>
      <c r="AM39" s="179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32500.52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9">
        <v>0</v>
      </c>
      <c r="S40" s="179">
        <v>11569</v>
      </c>
      <c r="T40" s="179">
        <v>10467.19</v>
      </c>
      <c r="U40" s="179">
        <v>134677.26999999999</v>
      </c>
      <c r="V40" s="179">
        <v>618634.93999999994</v>
      </c>
      <c r="W40" s="179">
        <v>430075.21</v>
      </c>
      <c r="X40" s="179">
        <v>29858.51</v>
      </c>
      <c r="Y40" s="179">
        <v>3477.39</v>
      </c>
      <c r="Z40" s="179">
        <v>0</v>
      </c>
      <c r="AA40" s="179">
        <v>127172.56</v>
      </c>
      <c r="AB40" s="179">
        <v>0</v>
      </c>
      <c r="AC40" s="179">
        <v>57680.22</v>
      </c>
      <c r="AD40" s="179">
        <v>5625572.9299999997</v>
      </c>
      <c r="AE40" s="179">
        <v>12743.8</v>
      </c>
      <c r="AF40" s="179">
        <v>0</v>
      </c>
      <c r="AG40" s="179">
        <v>9237.23</v>
      </c>
      <c r="AH40" s="179">
        <v>3996.48</v>
      </c>
      <c r="AI40" s="179">
        <v>75327.78</v>
      </c>
      <c r="AJ40" s="179">
        <v>94793.4</v>
      </c>
      <c r="AK40" s="179">
        <v>14030.72</v>
      </c>
      <c r="AL40" s="179">
        <v>21042.3</v>
      </c>
      <c r="AM40" s="179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9081.82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9">
        <v>0</v>
      </c>
      <c r="S41" s="179">
        <v>478</v>
      </c>
      <c r="T41" s="179">
        <v>0</v>
      </c>
      <c r="U41" s="179">
        <v>294455.82</v>
      </c>
      <c r="V41" s="179">
        <v>320248.28000000003</v>
      </c>
      <c r="W41" s="179">
        <v>124568.69</v>
      </c>
      <c r="X41" s="179">
        <v>61012.49</v>
      </c>
      <c r="Y41" s="179">
        <v>90045.51</v>
      </c>
      <c r="Z41" s="179">
        <v>0</v>
      </c>
      <c r="AA41" s="179">
        <v>325505.96000000002</v>
      </c>
      <c r="AB41" s="179">
        <v>0</v>
      </c>
      <c r="AC41" s="179">
        <v>89065.94</v>
      </c>
      <c r="AD41" s="179">
        <v>0</v>
      </c>
      <c r="AE41" s="179">
        <v>102691.78</v>
      </c>
      <c r="AF41" s="179">
        <v>220811.47</v>
      </c>
      <c r="AG41" s="179">
        <v>-339010.07</v>
      </c>
      <c r="AH41" s="179">
        <v>175.5</v>
      </c>
      <c r="AI41" s="179">
        <v>179244.04</v>
      </c>
      <c r="AJ41" s="179">
        <v>59586.43</v>
      </c>
      <c r="AK41" s="179">
        <v>0</v>
      </c>
      <c r="AL41" s="179">
        <v>112540.51</v>
      </c>
      <c r="AM41" s="179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11375.94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9">
        <v>0</v>
      </c>
      <c r="S42" s="179">
        <v>7117</v>
      </c>
      <c r="T42" s="179">
        <v>37270.400000000001</v>
      </c>
      <c r="U42" s="179">
        <v>23439.69</v>
      </c>
      <c r="V42" s="179">
        <v>103138.44</v>
      </c>
      <c r="W42" s="179">
        <v>138687.49</v>
      </c>
      <c r="X42" s="179">
        <v>31679.25</v>
      </c>
      <c r="Y42" s="179">
        <v>42219.92</v>
      </c>
      <c r="Z42" s="179">
        <v>0</v>
      </c>
      <c r="AA42" s="179">
        <v>45954.15</v>
      </c>
      <c r="AB42" s="179">
        <v>0</v>
      </c>
      <c r="AC42" s="179">
        <v>19306.669999999998</v>
      </c>
      <c r="AD42" s="179">
        <v>0</v>
      </c>
      <c r="AE42" s="179">
        <v>24204.23</v>
      </c>
      <c r="AF42" s="179">
        <v>43346.76</v>
      </c>
      <c r="AG42" s="179">
        <v>41450.480000000003</v>
      </c>
      <c r="AH42" s="179">
        <v>0</v>
      </c>
      <c r="AI42" s="179">
        <v>38219.51</v>
      </c>
      <c r="AJ42" s="179">
        <v>16370.35</v>
      </c>
      <c r="AK42" s="179">
        <v>0</v>
      </c>
      <c r="AL42" s="179">
        <v>199136.66</v>
      </c>
      <c r="AM42" s="179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574.03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9">
        <v>41439.26</v>
      </c>
      <c r="S43" s="179">
        <v>-463</v>
      </c>
      <c r="T43" s="179">
        <v>105904.51</v>
      </c>
      <c r="U43" s="179">
        <v>0</v>
      </c>
      <c r="V43" s="179">
        <v>110665.43</v>
      </c>
      <c r="W43" s="179">
        <v>0</v>
      </c>
      <c r="X43" s="179">
        <v>369007.02</v>
      </c>
      <c r="Y43" s="179">
        <v>2530.71</v>
      </c>
      <c r="Z43" s="179">
        <v>0</v>
      </c>
      <c r="AA43" s="179">
        <v>255161.35</v>
      </c>
      <c r="AB43" s="179">
        <v>0</v>
      </c>
      <c r="AC43" s="179">
        <v>237613.57</v>
      </c>
      <c r="AD43" s="179">
        <v>1615062.16</v>
      </c>
      <c r="AE43" s="179">
        <v>196784.05</v>
      </c>
      <c r="AF43" s="179">
        <v>0</v>
      </c>
      <c r="AG43" s="179">
        <v>133663.82999999999</v>
      </c>
      <c r="AH43" s="179">
        <v>974.28</v>
      </c>
      <c r="AI43" s="179">
        <v>60986.6</v>
      </c>
      <c r="AJ43" s="179">
        <v>76419.100000000006</v>
      </c>
      <c r="AK43" s="179">
        <v>35785.040000000001</v>
      </c>
      <c r="AL43" s="179">
        <v>29633.279999999999</v>
      </c>
      <c r="AM43" s="179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445341.9800000001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9">
        <v>111689.08000000002</v>
      </c>
      <c r="S44" s="179">
        <v>180125</v>
      </c>
      <c r="T44" s="179">
        <v>742373.23</v>
      </c>
      <c r="U44" s="179">
        <v>1562868.89</v>
      </c>
      <c r="V44" s="179">
        <v>3701169.84</v>
      </c>
      <c r="W44" s="179">
        <v>2012916.4299999997</v>
      </c>
      <c r="X44" s="179">
        <v>1912755.41</v>
      </c>
      <c r="Y44" s="179">
        <v>310392.55000000005</v>
      </c>
      <c r="Z44" s="179">
        <v>0</v>
      </c>
      <c r="AA44" s="179">
        <v>1667026.8</v>
      </c>
      <c r="AB44" s="179">
        <v>26250.54</v>
      </c>
      <c r="AC44" s="179">
        <v>936693.5</v>
      </c>
      <c r="AD44" s="179">
        <v>11372248.559999999</v>
      </c>
      <c r="AE44" s="179">
        <v>1819541.16</v>
      </c>
      <c r="AF44" s="179">
        <v>1750044.01</v>
      </c>
      <c r="AG44" s="179">
        <v>320159.94999999995</v>
      </c>
      <c r="AH44" s="179">
        <v>212735.81</v>
      </c>
      <c r="AI44" s="179">
        <v>1594293.4200000004</v>
      </c>
      <c r="AJ44" s="179">
        <v>1290959.99</v>
      </c>
      <c r="AK44" s="179">
        <v>297333.88999999996</v>
      </c>
      <c r="AL44" s="179">
        <v>1996669.37</v>
      </c>
      <c r="AM44" s="179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83896.7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9">
        <v>2421</v>
      </c>
      <c r="S45" s="179">
        <v>244254</v>
      </c>
      <c r="T45" s="179">
        <v>64477.279999999999</v>
      </c>
      <c r="U45" s="179">
        <v>354125.26</v>
      </c>
      <c r="V45" s="179">
        <v>0</v>
      </c>
      <c r="W45" s="179">
        <v>661051.16</v>
      </c>
      <c r="X45" s="179">
        <v>135934.95000000001</v>
      </c>
      <c r="Y45" s="179">
        <v>37473.160000000003</v>
      </c>
      <c r="Z45" s="179">
        <v>0</v>
      </c>
      <c r="AA45" s="179">
        <v>90766.13</v>
      </c>
      <c r="AB45" s="179">
        <v>0</v>
      </c>
      <c r="AC45" s="179">
        <v>102514.54</v>
      </c>
      <c r="AD45" s="179">
        <v>3346423.75</v>
      </c>
      <c r="AE45" s="179">
        <v>466369.12</v>
      </c>
      <c r="AF45" s="179">
        <v>0</v>
      </c>
      <c r="AG45" s="179">
        <v>0</v>
      </c>
      <c r="AH45" s="179">
        <v>0</v>
      </c>
      <c r="AI45" s="179">
        <v>182943.44</v>
      </c>
      <c r="AJ45" s="179">
        <v>31280.25</v>
      </c>
      <c r="AK45" s="179">
        <v>0</v>
      </c>
      <c r="AL45" s="179">
        <v>0</v>
      </c>
      <c r="AM45" s="179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178101.85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9">
        <v>39511.699999999997</v>
      </c>
      <c r="S46" s="179">
        <v>270167</v>
      </c>
      <c r="T46" s="179">
        <v>16528.509999999998</v>
      </c>
      <c r="U46" s="179">
        <v>474668.05</v>
      </c>
      <c r="V46" s="179">
        <v>385991.65</v>
      </c>
      <c r="W46" s="179">
        <v>261151.49</v>
      </c>
      <c r="X46" s="179">
        <v>89466.54</v>
      </c>
      <c r="Y46" s="179">
        <v>103048.34</v>
      </c>
      <c r="Z46" s="179">
        <v>32959.160000000003</v>
      </c>
      <c r="AA46" s="179">
        <v>170501.94</v>
      </c>
      <c r="AB46" s="179">
        <v>0</v>
      </c>
      <c r="AC46" s="179">
        <v>54311.199999999997</v>
      </c>
      <c r="AD46" s="179">
        <v>2137216.25</v>
      </c>
      <c r="AE46" s="179">
        <v>261072.01</v>
      </c>
      <c r="AF46" s="179">
        <v>295890.69</v>
      </c>
      <c r="AG46" s="179">
        <v>0</v>
      </c>
      <c r="AH46" s="179">
        <v>62426.31</v>
      </c>
      <c r="AI46" s="179">
        <v>294424.44</v>
      </c>
      <c r="AJ46" s="179">
        <v>236772.21</v>
      </c>
      <c r="AK46" s="179">
        <v>3546.87</v>
      </c>
      <c r="AL46" s="179">
        <v>24410.27</v>
      </c>
      <c r="AM46" s="179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163828.26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9">
        <v>127999</v>
      </c>
      <c r="S47" s="179">
        <v>932853</v>
      </c>
      <c r="T47" s="179">
        <v>292854.96000000002</v>
      </c>
      <c r="U47" s="179">
        <v>782822.03</v>
      </c>
      <c r="V47" s="179">
        <v>856666.1</v>
      </c>
      <c r="W47" s="179">
        <v>1075142.3600000001</v>
      </c>
      <c r="X47" s="179">
        <v>468791.54</v>
      </c>
      <c r="Y47" s="179">
        <v>200099.41</v>
      </c>
      <c r="Z47" s="179">
        <v>78035.350000000006</v>
      </c>
      <c r="AA47" s="179">
        <v>431511.81</v>
      </c>
      <c r="AB47" s="179">
        <v>201913.39</v>
      </c>
      <c r="AC47" s="179">
        <v>236392.21</v>
      </c>
      <c r="AD47" s="179">
        <v>863810.11</v>
      </c>
      <c r="AE47" s="179">
        <v>2365443.0099999998</v>
      </c>
      <c r="AF47" s="179">
        <v>376717.04</v>
      </c>
      <c r="AG47" s="179">
        <v>840661.94</v>
      </c>
      <c r="AH47" s="179">
        <v>164329.73000000001</v>
      </c>
      <c r="AI47" s="179">
        <v>484435.85</v>
      </c>
      <c r="AJ47" s="179">
        <v>561370.9</v>
      </c>
      <c r="AK47" s="179">
        <v>149179.20000000001</v>
      </c>
      <c r="AL47" s="179">
        <v>1547561.38</v>
      </c>
      <c r="AM47" s="179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114155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9">
        <v>0</v>
      </c>
      <c r="S48" s="179">
        <v>258401</v>
      </c>
      <c r="T48" s="179">
        <v>314208.28000000003</v>
      </c>
      <c r="U48" s="179">
        <v>379474.9</v>
      </c>
      <c r="V48" s="179">
        <v>229986.16</v>
      </c>
      <c r="W48" s="179">
        <v>273855.51</v>
      </c>
      <c r="X48" s="179">
        <v>367129.86</v>
      </c>
      <c r="Y48" s="179">
        <v>104579.83</v>
      </c>
      <c r="Z48" s="179">
        <v>0</v>
      </c>
      <c r="AA48" s="179">
        <v>101199.66</v>
      </c>
      <c r="AB48" s="179">
        <v>0</v>
      </c>
      <c r="AC48" s="179">
        <v>89833.37</v>
      </c>
      <c r="AD48" s="179">
        <v>1075005.92</v>
      </c>
      <c r="AE48" s="179">
        <v>-987227.53</v>
      </c>
      <c r="AF48" s="179">
        <v>54615.59</v>
      </c>
      <c r="AG48" s="179">
        <v>0</v>
      </c>
      <c r="AH48" s="179">
        <v>107235.44</v>
      </c>
      <c r="AI48" s="179">
        <v>69656.77</v>
      </c>
      <c r="AJ48" s="179">
        <v>191797.14</v>
      </c>
      <c r="AK48" s="179">
        <v>101720</v>
      </c>
      <c r="AL48" s="179">
        <v>196173.02</v>
      </c>
      <c r="AM48" s="179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25.05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9">
        <v>-36.9</v>
      </c>
      <c r="S49" s="179">
        <v>0</v>
      </c>
      <c r="T49" s="179">
        <v>-70.83</v>
      </c>
      <c r="U49" s="179">
        <v>7122.57</v>
      </c>
      <c r="V49" s="179">
        <v>215.16</v>
      </c>
      <c r="W49" s="179">
        <v>-0.1</v>
      </c>
      <c r="X49" s="179">
        <v>0</v>
      </c>
      <c r="Y49" s="179">
        <v>-3.4</v>
      </c>
      <c r="Z49" s="179">
        <v>0</v>
      </c>
      <c r="AA49" s="179">
        <v>170.66</v>
      </c>
      <c r="AB49" s="179">
        <v>0</v>
      </c>
      <c r="AC49" s="179">
        <v>2753.27</v>
      </c>
      <c r="AD49" s="179">
        <v>0</v>
      </c>
      <c r="AE49" s="179"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v>0</v>
      </c>
      <c r="AK49" s="179">
        <v>0</v>
      </c>
      <c r="AL49" s="179">
        <v>0</v>
      </c>
      <c r="AM49" s="179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3944.55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9">
        <v>106.94</v>
      </c>
      <c r="S50" s="179">
        <v>38</v>
      </c>
      <c r="T50" s="179">
        <v>1660.15</v>
      </c>
      <c r="U50" s="179">
        <v>207.14</v>
      </c>
      <c r="V50" s="179">
        <v>107012.94</v>
      </c>
      <c r="W50" s="179">
        <v>22171.08</v>
      </c>
      <c r="X50" s="179">
        <v>0</v>
      </c>
      <c r="Y50" s="179">
        <v>0</v>
      </c>
      <c r="Z50" s="179">
        <v>0</v>
      </c>
      <c r="AA50" s="179">
        <v>0</v>
      </c>
      <c r="AB50" s="179">
        <v>3650</v>
      </c>
      <c r="AC50" s="179">
        <v>5329.26</v>
      </c>
      <c r="AD50" s="179">
        <v>-317680.38</v>
      </c>
      <c r="AE50" s="179">
        <v>0</v>
      </c>
      <c r="AF50" s="179">
        <v>0</v>
      </c>
      <c r="AG50" s="179">
        <v>183012.24</v>
      </c>
      <c r="AH50" s="179">
        <v>0</v>
      </c>
      <c r="AI50" s="179">
        <v>40</v>
      </c>
      <c r="AJ50" s="179">
        <v>0</v>
      </c>
      <c r="AK50" s="179">
        <v>0</v>
      </c>
      <c r="AL50" s="179">
        <v>0</v>
      </c>
      <c r="AM50" s="179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2123.2600000000002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9">
        <v>0</v>
      </c>
      <c r="S51" s="179">
        <v>0</v>
      </c>
      <c r="T51" s="179">
        <v>54566.09</v>
      </c>
      <c r="U51" s="179">
        <v>769728.97</v>
      </c>
      <c r="V51" s="179">
        <v>596993.97</v>
      </c>
      <c r="W51" s="179">
        <v>0</v>
      </c>
      <c r="X51" s="179">
        <v>475043.82</v>
      </c>
      <c r="Y51" s="179">
        <v>0</v>
      </c>
      <c r="Z51" s="179">
        <v>0</v>
      </c>
      <c r="AA51" s="179">
        <v>0</v>
      </c>
      <c r="AB51" s="179">
        <v>0</v>
      </c>
      <c r="AC51" s="179">
        <v>0</v>
      </c>
      <c r="AD51" s="179">
        <v>174645.42</v>
      </c>
      <c r="AE51" s="179">
        <v>0</v>
      </c>
      <c r="AF51" s="179">
        <v>0</v>
      </c>
      <c r="AG51" s="179">
        <v>0</v>
      </c>
      <c r="AH51" s="179">
        <v>0</v>
      </c>
      <c r="AI51" s="179">
        <v>7860.54</v>
      </c>
      <c r="AJ51" s="179">
        <v>155555.45000000001</v>
      </c>
      <c r="AK51" s="179">
        <v>0</v>
      </c>
      <c r="AL51" s="179">
        <v>88050.81</v>
      </c>
      <c r="AM51" s="179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546074.67000000016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9">
        <v>170001.74000000002</v>
      </c>
      <c r="S52" s="179">
        <v>1705713</v>
      </c>
      <c r="T52" s="179">
        <v>744224.44000000006</v>
      </c>
      <c r="U52" s="179">
        <v>2768148.92</v>
      </c>
      <c r="V52" s="179">
        <v>2176865.9799999995</v>
      </c>
      <c r="W52" s="179">
        <v>2293371.5000000005</v>
      </c>
      <c r="X52" s="179">
        <v>1536366.7100000002</v>
      </c>
      <c r="Y52" s="179">
        <v>445197.34</v>
      </c>
      <c r="Z52" s="179">
        <v>110994.51000000001</v>
      </c>
      <c r="AA52" s="179">
        <v>794150.20000000007</v>
      </c>
      <c r="AB52" s="179">
        <v>205563.39</v>
      </c>
      <c r="AC52" s="179">
        <v>491133.85</v>
      </c>
      <c r="AD52" s="179">
        <v>7279421.0700000003</v>
      </c>
      <c r="AE52" s="179">
        <v>2105656.6099999994</v>
      </c>
      <c r="AF52" s="179">
        <v>727223.32</v>
      </c>
      <c r="AG52" s="179">
        <v>1023674.1799999999</v>
      </c>
      <c r="AH52" s="179">
        <v>333991.48</v>
      </c>
      <c r="AI52" s="179">
        <v>1039361.04</v>
      </c>
      <c r="AJ52" s="179">
        <v>1176775.95</v>
      </c>
      <c r="AK52" s="179">
        <v>254446.07</v>
      </c>
      <c r="AL52" s="179">
        <v>1856195.48</v>
      </c>
      <c r="AM52" s="179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9">
        <v>0</v>
      </c>
      <c r="S53" s="179">
        <v>0</v>
      </c>
      <c r="T53" s="179">
        <v>0</v>
      </c>
      <c r="U53" s="179">
        <v>0</v>
      </c>
      <c r="V53" s="179">
        <v>0</v>
      </c>
      <c r="W53" s="179">
        <v>0</v>
      </c>
      <c r="X53" s="179">
        <v>0</v>
      </c>
      <c r="Y53" s="179">
        <v>0</v>
      </c>
      <c r="Z53" s="179">
        <v>0</v>
      </c>
      <c r="AA53" s="179">
        <v>0</v>
      </c>
      <c r="AB53" s="179">
        <v>0</v>
      </c>
      <c r="AC53" s="179">
        <v>0</v>
      </c>
      <c r="AD53" s="179">
        <v>0</v>
      </c>
      <c r="AE53" s="179"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v>0</v>
      </c>
      <c r="AK53" s="179">
        <v>15284.42</v>
      </c>
      <c r="AL53" s="179">
        <v>0</v>
      </c>
      <c r="AM53" s="179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0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9">
        <v>0</v>
      </c>
      <c r="S54" s="179">
        <v>108281</v>
      </c>
      <c r="T54" s="179">
        <v>-162.02000000000001</v>
      </c>
      <c r="U54" s="179">
        <v>4975.13</v>
      </c>
      <c r="V54" s="179">
        <v>0</v>
      </c>
      <c r="W54" s="179">
        <v>5156.92</v>
      </c>
      <c r="X54" s="179">
        <v>46.22</v>
      </c>
      <c r="Y54" s="179">
        <v>11925.16</v>
      </c>
      <c r="Z54" s="179">
        <v>115</v>
      </c>
      <c r="AA54" s="179">
        <v>0</v>
      </c>
      <c r="AB54" s="179">
        <v>8362.7000000000007</v>
      </c>
      <c r="AC54" s="179">
        <v>-12907.47</v>
      </c>
      <c r="AD54" s="179">
        <v>0</v>
      </c>
      <c r="AE54" s="179">
        <v>26427.46</v>
      </c>
      <c r="AF54" s="179">
        <v>48725.18</v>
      </c>
      <c r="AG54" s="179">
        <v>21168.29</v>
      </c>
      <c r="AH54" s="179">
        <v>54.99</v>
      </c>
      <c r="AI54" s="179">
        <v>12012.75</v>
      </c>
      <c r="AJ54" s="179">
        <v>0</v>
      </c>
      <c r="AK54" s="179">
        <v>7513.57</v>
      </c>
      <c r="AL54" s="179">
        <v>0</v>
      </c>
      <c r="AM54" s="179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0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9">
        <v>0</v>
      </c>
      <c r="S55" s="179">
        <v>132914</v>
      </c>
      <c r="T55" s="179">
        <v>13238.72</v>
      </c>
      <c r="U55" s="179">
        <v>6529.83</v>
      </c>
      <c r="V55" s="179">
        <v>27979.66</v>
      </c>
      <c r="W55" s="179">
        <v>60739.37</v>
      </c>
      <c r="X55" s="179">
        <v>1830</v>
      </c>
      <c r="Y55" s="179">
        <v>0</v>
      </c>
      <c r="Z55" s="179">
        <v>0</v>
      </c>
      <c r="AA55" s="179">
        <v>2587.5</v>
      </c>
      <c r="AB55" s="179">
        <v>0</v>
      </c>
      <c r="AC55" s="179">
        <v>0</v>
      </c>
      <c r="AD55" s="179">
        <v>0</v>
      </c>
      <c r="AE55" s="179"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v>11632.26</v>
      </c>
      <c r="AK55" s="179">
        <v>0</v>
      </c>
      <c r="AL55" s="179">
        <v>0</v>
      </c>
      <c r="AM55" s="179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9">
        <v>0</v>
      </c>
      <c r="S56" s="179">
        <v>1062</v>
      </c>
      <c r="T56" s="179">
        <v>0</v>
      </c>
      <c r="U56" s="179">
        <v>0</v>
      </c>
      <c r="V56" s="179">
        <v>0</v>
      </c>
      <c r="W56" s="179">
        <v>29688.61</v>
      </c>
      <c r="X56" s="179">
        <v>20250</v>
      </c>
      <c r="Y56" s="179">
        <v>7990.22</v>
      </c>
      <c r="Z56" s="179">
        <v>0</v>
      </c>
      <c r="AA56" s="179">
        <v>205590.51</v>
      </c>
      <c r="AB56" s="179">
        <v>0</v>
      </c>
      <c r="AC56" s="179">
        <v>0</v>
      </c>
      <c r="AD56" s="179">
        <v>0</v>
      </c>
      <c r="AE56" s="179">
        <v>0</v>
      </c>
      <c r="AF56" s="179">
        <v>0</v>
      </c>
      <c r="AG56" s="179">
        <v>3681.32</v>
      </c>
      <c r="AH56" s="179">
        <v>0</v>
      </c>
      <c r="AI56" s="179">
        <v>0</v>
      </c>
      <c r="AJ56" s="179">
        <v>0</v>
      </c>
      <c r="AK56" s="179">
        <v>0</v>
      </c>
      <c r="AL56" s="179">
        <v>0</v>
      </c>
      <c r="AM56" s="179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0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9">
        <v>0</v>
      </c>
      <c r="S57" s="179">
        <v>242257</v>
      </c>
      <c r="T57" s="179">
        <v>13076.699999999999</v>
      </c>
      <c r="U57" s="179">
        <v>11504.96</v>
      </c>
      <c r="V57" s="179">
        <v>27979.66</v>
      </c>
      <c r="W57" s="179">
        <v>95584.900000000009</v>
      </c>
      <c r="X57" s="179">
        <v>22126.22</v>
      </c>
      <c r="Y57" s="179">
        <v>19915.38</v>
      </c>
      <c r="Z57" s="179">
        <v>115</v>
      </c>
      <c r="AA57" s="179">
        <v>208178.01</v>
      </c>
      <c r="AB57" s="179">
        <v>8362.7000000000007</v>
      </c>
      <c r="AC57" s="179">
        <v>-12907.47</v>
      </c>
      <c r="AD57" s="179">
        <v>0</v>
      </c>
      <c r="AE57" s="179">
        <v>26427.46</v>
      </c>
      <c r="AF57" s="179">
        <v>48725.18</v>
      </c>
      <c r="AG57" s="179">
        <v>24849.61</v>
      </c>
      <c r="AH57" s="179">
        <v>54.99</v>
      </c>
      <c r="AI57" s="179">
        <v>12012.75</v>
      </c>
      <c r="AJ57" s="179">
        <v>11632.26</v>
      </c>
      <c r="AK57" s="179">
        <v>22797.989999999998</v>
      </c>
      <c r="AL57" s="179">
        <v>0</v>
      </c>
      <c r="AM57" s="179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34192.49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9">
        <v>6078</v>
      </c>
      <c r="S58" s="179">
        <v>1398712</v>
      </c>
      <c r="T58" s="179">
        <v>118034.37</v>
      </c>
      <c r="U58" s="179">
        <v>1237215.04</v>
      </c>
      <c r="V58" s="179">
        <v>1532053.15</v>
      </c>
      <c r="W58" s="179">
        <v>2016050.9</v>
      </c>
      <c r="X58" s="179">
        <v>505967.88</v>
      </c>
      <c r="Y58" s="179">
        <v>0</v>
      </c>
      <c r="Z58" s="179">
        <v>13200</v>
      </c>
      <c r="AA58" s="179">
        <v>370415.42</v>
      </c>
      <c r="AB58" s="179">
        <v>27661.8</v>
      </c>
      <c r="AC58" s="179">
        <v>22608.92</v>
      </c>
      <c r="AD58" s="179">
        <v>303079.3</v>
      </c>
      <c r="AE58" s="179">
        <v>0</v>
      </c>
      <c r="AF58" s="179">
        <v>0</v>
      </c>
      <c r="AG58" s="179">
        <v>255459.68</v>
      </c>
      <c r="AH58" s="179">
        <v>18540</v>
      </c>
      <c r="AI58" s="179">
        <v>0</v>
      </c>
      <c r="AJ58" s="179">
        <v>632673.06000000006</v>
      </c>
      <c r="AK58" s="179">
        <v>166876.64000000001</v>
      </c>
      <c r="AL58" s="179">
        <v>720615.67</v>
      </c>
      <c r="AM58" s="179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126349.8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9">
        <v>124772.29</v>
      </c>
      <c r="S59" s="179">
        <v>89981</v>
      </c>
      <c r="T59" s="179">
        <v>200000</v>
      </c>
      <c r="U59" s="179">
        <v>321734.78999999998</v>
      </c>
      <c r="V59" s="179">
        <v>24412.48</v>
      </c>
      <c r="W59" s="179">
        <v>2143282.17</v>
      </c>
      <c r="X59" s="179">
        <v>518756.64</v>
      </c>
      <c r="Y59" s="179">
        <v>364886.57</v>
      </c>
      <c r="Z59" s="179">
        <v>60694.78</v>
      </c>
      <c r="AA59" s="179">
        <v>123483.31</v>
      </c>
      <c r="AB59" s="179">
        <v>93234.78</v>
      </c>
      <c r="AC59" s="179">
        <v>310992.98</v>
      </c>
      <c r="AD59" s="179">
        <v>3032384.49</v>
      </c>
      <c r="AE59" s="179">
        <v>1656427.36</v>
      </c>
      <c r="AF59" s="179">
        <v>6424375.4400000004</v>
      </c>
      <c r="AG59" s="179">
        <v>1248014.54</v>
      </c>
      <c r="AH59" s="179">
        <v>79354.73</v>
      </c>
      <c r="AI59" s="179">
        <v>1361535.19</v>
      </c>
      <c r="AJ59" s="179">
        <v>0</v>
      </c>
      <c r="AK59" s="179">
        <v>0</v>
      </c>
      <c r="AL59" s="179">
        <v>438063.9</v>
      </c>
      <c r="AM59" s="179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104931.8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9">
        <v>88830.03</v>
      </c>
      <c r="S60" s="179">
        <v>1408588</v>
      </c>
      <c r="T60" s="179">
        <v>146318.76999999999</v>
      </c>
      <c r="U60" s="179">
        <v>861522.14</v>
      </c>
      <c r="V60" s="179">
        <v>2103892.12</v>
      </c>
      <c r="W60" s="179">
        <v>1175366.31</v>
      </c>
      <c r="X60" s="179">
        <v>3426728.47</v>
      </c>
      <c r="Y60" s="179">
        <v>215288.65</v>
      </c>
      <c r="Z60" s="179">
        <v>14457.16</v>
      </c>
      <c r="AA60" s="179">
        <v>308901.42</v>
      </c>
      <c r="AB60" s="179">
        <v>64691.06</v>
      </c>
      <c r="AC60" s="179">
        <v>76505.5</v>
      </c>
      <c r="AD60" s="179">
        <v>2913982.43</v>
      </c>
      <c r="AE60" s="179">
        <v>91956.57</v>
      </c>
      <c r="AF60" s="179">
        <v>2110542.4500000002</v>
      </c>
      <c r="AG60" s="179">
        <v>112292.16</v>
      </c>
      <c r="AH60" s="179">
        <v>23003.22</v>
      </c>
      <c r="AI60" s="179">
        <v>218512.66</v>
      </c>
      <c r="AJ60" s="179">
        <v>452913.86</v>
      </c>
      <c r="AK60" s="179">
        <v>172472.23</v>
      </c>
      <c r="AL60" s="179">
        <v>821485.2</v>
      </c>
      <c r="AM60" s="179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102652.29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9">
        <v>3914.76</v>
      </c>
      <c r="S61" s="179">
        <v>2180</v>
      </c>
      <c r="T61" s="179">
        <v>19049.439999999999</v>
      </c>
      <c r="U61" s="179">
        <v>73080.61</v>
      </c>
      <c r="V61" s="179">
        <v>486947.15</v>
      </c>
      <c r="W61" s="179">
        <v>440151.98</v>
      </c>
      <c r="X61" s="179">
        <v>446962.09</v>
      </c>
      <c r="Y61" s="179">
        <v>58173.23</v>
      </c>
      <c r="Z61" s="179">
        <v>25504.86</v>
      </c>
      <c r="AA61" s="179">
        <v>0</v>
      </c>
      <c r="AB61" s="179">
        <v>42007.040000000001</v>
      </c>
      <c r="AC61" s="179">
        <v>79379.91</v>
      </c>
      <c r="AD61" s="179">
        <v>484119.4</v>
      </c>
      <c r="AE61" s="179">
        <v>213617.46</v>
      </c>
      <c r="AF61" s="179">
        <v>119843.51</v>
      </c>
      <c r="AG61" s="179">
        <v>69781.94</v>
      </c>
      <c r="AH61" s="179">
        <v>72713.02</v>
      </c>
      <c r="AI61" s="179">
        <v>443140.38</v>
      </c>
      <c r="AJ61" s="179">
        <v>177408.27</v>
      </c>
      <c r="AK61" s="179">
        <v>16576.36</v>
      </c>
      <c r="AL61" s="179">
        <v>219356.91</v>
      </c>
      <c r="AM61" s="179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0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9">
        <v>0</v>
      </c>
      <c r="S62" s="179">
        <v>0</v>
      </c>
      <c r="T62" s="179">
        <v>-229071.6</v>
      </c>
      <c r="U62" s="179">
        <v>-271232.73</v>
      </c>
      <c r="V62" s="179">
        <v>-314760.81</v>
      </c>
      <c r="W62" s="179">
        <v>-200960</v>
      </c>
      <c r="X62" s="179">
        <v>-4176269.18</v>
      </c>
      <c r="Y62" s="179">
        <v>0</v>
      </c>
      <c r="Z62" s="179">
        <v>0</v>
      </c>
      <c r="AA62" s="179">
        <v>0</v>
      </c>
      <c r="AB62" s="179">
        <v>0</v>
      </c>
      <c r="AC62" s="179">
        <v>0</v>
      </c>
      <c r="AD62" s="179">
        <v>-8663030.6799999997</v>
      </c>
      <c r="AE62" s="179">
        <v>0</v>
      </c>
      <c r="AF62" s="179">
        <v>0</v>
      </c>
      <c r="AG62" s="179">
        <v>0</v>
      </c>
      <c r="AH62" s="179">
        <v>0</v>
      </c>
      <c r="AI62" s="179">
        <v>0</v>
      </c>
      <c r="AJ62" s="179">
        <v>0</v>
      </c>
      <c r="AK62" s="179">
        <v>-6364.49</v>
      </c>
      <c r="AL62" s="179">
        <v>0</v>
      </c>
      <c r="AM62" s="179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193377.04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9">
        <v>43526.09</v>
      </c>
      <c r="S63" s="179">
        <v>-2770</v>
      </c>
      <c r="T63" s="179">
        <v>325101.99</v>
      </c>
      <c r="U63" s="179">
        <v>501850.27</v>
      </c>
      <c r="V63" s="179">
        <v>433624.43</v>
      </c>
      <c r="W63" s="179">
        <v>578398.79</v>
      </c>
      <c r="X63" s="179">
        <v>480141.32</v>
      </c>
      <c r="Y63" s="179">
        <v>42200.02</v>
      </c>
      <c r="Z63" s="179">
        <v>110675.31</v>
      </c>
      <c r="AA63" s="179">
        <v>68317.399999999994</v>
      </c>
      <c r="AB63" s="179">
        <v>42412.13</v>
      </c>
      <c r="AC63" s="179">
        <v>148908.07</v>
      </c>
      <c r="AD63" s="179">
        <v>0</v>
      </c>
      <c r="AE63" s="179">
        <v>335067.42</v>
      </c>
      <c r="AF63" s="179">
        <v>862885.23</v>
      </c>
      <c r="AG63" s="179">
        <v>208258.53</v>
      </c>
      <c r="AH63" s="179">
        <v>93144.73</v>
      </c>
      <c r="AI63" s="179">
        <v>54903.35</v>
      </c>
      <c r="AJ63" s="179">
        <v>93678.18</v>
      </c>
      <c r="AK63" s="179">
        <v>73383.06</v>
      </c>
      <c r="AL63" s="179">
        <v>53251.69</v>
      </c>
      <c r="AM63" s="179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9">
        <v>0</v>
      </c>
      <c r="S64" s="179">
        <v>0</v>
      </c>
      <c r="T64" s="179">
        <v>54868.800000000003</v>
      </c>
      <c r="U64" s="179">
        <v>0</v>
      </c>
      <c r="V64" s="179">
        <v>160260.98000000001</v>
      </c>
      <c r="W64" s="179">
        <v>132414.04999999999</v>
      </c>
      <c r="X64" s="179">
        <v>0</v>
      </c>
      <c r="Y64" s="179">
        <v>32743.73</v>
      </c>
      <c r="Z64" s="179">
        <v>7020.81</v>
      </c>
      <c r="AA64" s="179">
        <v>45507.79</v>
      </c>
      <c r="AB64" s="179">
        <v>2062.4</v>
      </c>
      <c r="AC64" s="179">
        <v>42777.47</v>
      </c>
      <c r="AD64" s="179">
        <v>0</v>
      </c>
      <c r="AE64" s="179">
        <v>253.6</v>
      </c>
      <c r="AF64" s="179">
        <v>331013.59999999998</v>
      </c>
      <c r="AG64" s="179">
        <v>0</v>
      </c>
      <c r="AH64" s="179">
        <v>7530.44</v>
      </c>
      <c r="AI64" s="179">
        <v>15116.27</v>
      </c>
      <c r="AJ64" s="179">
        <v>34543.040000000001</v>
      </c>
      <c r="AK64" s="179">
        <v>0</v>
      </c>
      <c r="AL64" s="179">
        <v>0</v>
      </c>
      <c r="AM64" s="179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9220.36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9">
        <v>61991.74</v>
      </c>
      <c r="S65" s="179">
        <v>1551815</v>
      </c>
      <c r="T65" s="179">
        <v>0</v>
      </c>
      <c r="U65" s="179">
        <v>37645.050000000003</v>
      </c>
      <c r="V65" s="179">
        <v>335511.90999999997</v>
      </c>
      <c r="W65" s="179">
        <v>249388.76</v>
      </c>
      <c r="X65" s="179">
        <v>1098810.8799999999</v>
      </c>
      <c r="Y65" s="179">
        <v>14641.81</v>
      </c>
      <c r="Z65" s="179">
        <v>63952.77</v>
      </c>
      <c r="AA65" s="179">
        <v>-6830</v>
      </c>
      <c r="AB65" s="179">
        <v>0</v>
      </c>
      <c r="AC65" s="179">
        <v>0</v>
      </c>
      <c r="AD65" s="179">
        <v>71242.77</v>
      </c>
      <c r="AE65" s="179">
        <v>209003.15</v>
      </c>
      <c r="AF65" s="179">
        <v>6284997.2800000003</v>
      </c>
      <c r="AG65" s="179">
        <v>1027162.91</v>
      </c>
      <c r="AH65" s="179">
        <v>12011.36</v>
      </c>
      <c r="AI65" s="179">
        <v>191789</v>
      </c>
      <c r="AJ65" s="179">
        <v>70826.45</v>
      </c>
      <c r="AK65" s="179">
        <v>42993.22</v>
      </c>
      <c r="AL65" s="179">
        <v>-477626</v>
      </c>
      <c r="AM65" s="179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9">
        <v>0</v>
      </c>
      <c r="S66" s="179">
        <v>0</v>
      </c>
      <c r="T66" s="179">
        <v>0</v>
      </c>
      <c r="U66" s="179">
        <v>0</v>
      </c>
      <c r="V66" s="179">
        <v>0</v>
      </c>
      <c r="W66" s="179">
        <v>0</v>
      </c>
      <c r="X66" s="179">
        <v>0</v>
      </c>
      <c r="Y66" s="179">
        <v>0</v>
      </c>
      <c r="Z66" s="179">
        <v>0</v>
      </c>
      <c r="AA66" s="179">
        <v>0</v>
      </c>
      <c r="AB66" s="179">
        <v>0</v>
      </c>
      <c r="AC66" s="179">
        <v>0</v>
      </c>
      <c r="AD66" s="179">
        <v>0</v>
      </c>
      <c r="AE66" s="179">
        <v>0</v>
      </c>
      <c r="AF66" s="179">
        <v>0</v>
      </c>
      <c r="AG66" s="179">
        <v>0</v>
      </c>
      <c r="AH66" s="179">
        <v>0</v>
      </c>
      <c r="AI66" s="179">
        <v>0</v>
      </c>
      <c r="AJ66" s="179">
        <v>0</v>
      </c>
      <c r="AK66" s="179">
        <v>0</v>
      </c>
      <c r="AL66" s="179">
        <v>0</v>
      </c>
      <c r="AM66" s="179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9">
        <v>0</v>
      </c>
      <c r="S67" s="179">
        <v>0</v>
      </c>
      <c r="T67" s="179">
        <v>0</v>
      </c>
      <c r="U67" s="179">
        <v>0</v>
      </c>
      <c r="V67" s="179">
        <v>0</v>
      </c>
      <c r="W67" s="179">
        <v>0</v>
      </c>
      <c r="X67" s="179">
        <v>0</v>
      </c>
      <c r="Y67" s="179">
        <v>0</v>
      </c>
      <c r="Z67" s="179">
        <v>0</v>
      </c>
      <c r="AA67" s="179">
        <v>0</v>
      </c>
      <c r="AB67" s="179">
        <v>0</v>
      </c>
      <c r="AC67" s="179">
        <v>0</v>
      </c>
      <c r="AD67" s="179">
        <v>0</v>
      </c>
      <c r="AE67" s="179">
        <v>0</v>
      </c>
      <c r="AF67" s="179">
        <v>0</v>
      </c>
      <c r="AG67" s="179">
        <v>0</v>
      </c>
      <c r="AH67" s="179">
        <v>0</v>
      </c>
      <c r="AI67" s="179">
        <v>0</v>
      </c>
      <c r="AJ67" s="179">
        <v>0</v>
      </c>
      <c r="AK67" s="179">
        <v>0</v>
      </c>
      <c r="AL67" s="179">
        <v>0</v>
      </c>
      <c r="AM67" s="179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9">
        <v>0</v>
      </c>
      <c r="S68" s="179">
        <v>0</v>
      </c>
      <c r="T68" s="179">
        <v>0</v>
      </c>
      <c r="U68" s="179">
        <v>62200</v>
      </c>
      <c r="V68" s="179">
        <v>0</v>
      </c>
      <c r="W68" s="179">
        <v>0</v>
      </c>
      <c r="X68" s="179">
        <v>0</v>
      </c>
      <c r="Y68" s="179">
        <v>0</v>
      </c>
      <c r="Z68" s="179">
        <v>0</v>
      </c>
      <c r="AA68" s="179">
        <v>0</v>
      </c>
      <c r="AB68" s="179">
        <v>0</v>
      </c>
      <c r="AC68" s="179">
        <v>0</v>
      </c>
      <c r="AD68" s="179">
        <v>0</v>
      </c>
      <c r="AE68" s="179">
        <v>0</v>
      </c>
      <c r="AF68" s="179">
        <v>0</v>
      </c>
      <c r="AG68" s="179">
        <v>0</v>
      </c>
      <c r="AH68" s="179">
        <v>0</v>
      </c>
      <c r="AI68" s="179">
        <v>0</v>
      </c>
      <c r="AJ68" s="179">
        <v>0</v>
      </c>
      <c r="AK68" s="179">
        <v>0</v>
      </c>
      <c r="AL68" s="179">
        <v>0</v>
      </c>
      <c r="AM68" s="179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25216.77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9">
        <v>13555.07</v>
      </c>
      <c r="S69" s="179">
        <v>324758</v>
      </c>
      <c r="T69" s="179">
        <v>50126.05</v>
      </c>
      <c r="U69" s="179">
        <v>104605.8</v>
      </c>
      <c r="V69" s="179">
        <v>227877.68</v>
      </c>
      <c r="W69" s="179">
        <v>182712.94</v>
      </c>
      <c r="X69" s="179">
        <v>232673.24</v>
      </c>
      <c r="Y69" s="179">
        <v>93458.96</v>
      </c>
      <c r="Z69" s="179">
        <v>7774.19</v>
      </c>
      <c r="AA69" s="179">
        <v>122296.33</v>
      </c>
      <c r="AB69" s="179">
        <v>36194.21</v>
      </c>
      <c r="AC69" s="179">
        <v>68693.039999999994</v>
      </c>
      <c r="AD69" s="179">
        <v>765392.94</v>
      </c>
      <c r="AE69" s="179">
        <v>492630.93</v>
      </c>
      <c r="AF69" s="179">
        <v>315141.25</v>
      </c>
      <c r="AG69" s="179">
        <v>78600.87</v>
      </c>
      <c r="AH69" s="179">
        <v>105120.25</v>
      </c>
      <c r="AI69" s="179">
        <v>146535.21</v>
      </c>
      <c r="AJ69" s="179">
        <v>138888.75</v>
      </c>
      <c r="AK69" s="179">
        <v>23683.4</v>
      </c>
      <c r="AL69" s="179">
        <v>418206.96</v>
      </c>
      <c r="AM69" s="179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9733.66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9">
        <v>29363.65</v>
      </c>
      <c r="S70" s="179">
        <v>786750</v>
      </c>
      <c r="T70" s="179">
        <v>218488.66</v>
      </c>
      <c r="U70" s="179">
        <v>5880.87</v>
      </c>
      <c r="V70" s="179">
        <v>488108.07</v>
      </c>
      <c r="W70" s="179">
        <v>2659.42</v>
      </c>
      <c r="X70" s="179">
        <v>427231.46</v>
      </c>
      <c r="Y70" s="179">
        <v>98005.64</v>
      </c>
      <c r="Z70" s="179">
        <v>72119.59</v>
      </c>
      <c r="AA70" s="179">
        <v>95358.720000000001</v>
      </c>
      <c r="AB70" s="179">
        <v>0</v>
      </c>
      <c r="AC70" s="179">
        <v>10272.49</v>
      </c>
      <c r="AD70" s="179">
        <v>16407610.74</v>
      </c>
      <c r="AE70" s="179">
        <v>21809.200000000001</v>
      </c>
      <c r="AF70" s="179">
        <v>111662.64</v>
      </c>
      <c r="AG70" s="179">
        <v>605348.74</v>
      </c>
      <c r="AH70" s="179">
        <v>2060.38</v>
      </c>
      <c r="AI70" s="179">
        <v>96851.31</v>
      </c>
      <c r="AJ70" s="179">
        <v>59198.400000000001</v>
      </c>
      <c r="AK70" s="179">
        <v>58335.4</v>
      </c>
      <c r="AL70" s="179">
        <v>470371.35</v>
      </c>
      <c r="AM70" s="179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9">
        <v>0</v>
      </c>
      <c r="S71" s="179">
        <v>0</v>
      </c>
      <c r="T71" s="179">
        <v>0</v>
      </c>
      <c r="U71" s="179">
        <v>0</v>
      </c>
      <c r="V71" s="179">
        <v>115698.24000000001</v>
      </c>
      <c r="W71" s="179">
        <v>34613.64</v>
      </c>
      <c r="X71" s="179">
        <v>342585.12</v>
      </c>
      <c r="Y71" s="179">
        <v>0</v>
      </c>
      <c r="Z71" s="179">
        <v>0</v>
      </c>
      <c r="AA71" s="179">
        <v>64992</v>
      </c>
      <c r="AB71" s="179">
        <v>14100</v>
      </c>
      <c r="AC71" s="179">
        <v>0</v>
      </c>
      <c r="AD71" s="179">
        <v>0</v>
      </c>
      <c r="AE71" s="179">
        <v>0</v>
      </c>
      <c r="AF71" s="179">
        <v>0</v>
      </c>
      <c r="AG71" s="179">
        <v>227975.36</v>
      </c>
      <c r="AH71" s="179">
        <v>0</v>
      </c>
      <c r="AI71" s="179">
        <v>0</v>
      </c>
      <c r="AJ71" s="179">
        <v>0</v>
      </c>
      <c r="AK71" s="179">
        <v>13284</v>
      </c>
      <c r="AL71" s="179">
        <v>42000</v>
      </c>
      <c r="AM71" s="179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9">
        <v>0</v>
      </c>
      <c r="S72" s="179">
        <v>0</v>
      </c>
      <c r="T72" s="179">
        <v>0</v>
      </c>
      <c r="U72" s="179">
        <v>0</v>
      </c>
      <c r="V72" s="179">
        <v>0</v>
      </c>
      <c r="W72" s="179">
        <v>0</v>
      </c>
      <c r="X72" s="179">
        <v>0</v>
      </c>
      <c r="Y72" s="179">
        <v>0</v>
      </c>
      <c r="Z72" s="179">
        <v>0</v>
      </c>
      <c r="AA72" s="179">
        <v>0</v>
      </c>
      <c r="AB72" s="179">
        <v>0</v>
      </c>
      <c r="AC72" s="179">
        <v>0</v>
      </c>
      <c r="AD72" s="179">
        <v>0</v>
      </c>
      <c r="AE72" s="179">
        <v>0</v>
      </c>
      <c r="AF72" s="179">
        <v>0</v>
      </c>
      <c r="AG72" s="179">
        <v>0</v>
      </c>
      <c r="AH72" s="179">
        <v>0</v>
      </c>
      <c r="AI72" s="179">
        <v>0</v>
      </c>
      <c r="AJ72" s="179">
        <v>0</v>
      </c>
      <c r="AK72" s="179">
        <v>0</v>
      </c>
      <c r="AL72" s="179">
        <v>0</v>
      </c>
      <c r="AM72" s="179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9">
        <v>40927.129999999997</v>
      </c>
      <c r="S73" s="179">
        <v>257497</v>
      </c>
      <c r="T73" s="179">
        <v>1779.75</v>
      </c>
      <c r="U73" s="179">
        <v>0</v>
      </c>
      <c r="V73" s="179">
        <v>334818.81</v>
      </c>
      <c r="W73" s="179">
        <v>864172.14</v>
      </c>
      <c r="X73" s="179">
        <v>611871.4</v>
      </c>
      <c r="Y73" s="179">
        <v>22729.07</v>
      </c>
      <c r="Z73" s="179">
        <v>0</v>
      </c>
      <c r="AA73" s="179">
        <v>30729.78</v>
      </c>
      <c r="AB73" s="179">
        <v>0</v>
      </c>
      <c r="AC73" s="179">
        <v>83637.62</v>
      </c>
      <c r="AD73" s="179">
        <v>11668054.380000001</v>
      </c>
      <c r="AE73" s="179">
        <v>476367.18</v>
      </c>
      <c r="AF73" s="179">
        <v>1502026.57</v>
      </c>
      <c r="AG73" s="179">
        <v>330340.53999999998</v>
      </c>
      <c r="AH73" s="179">
        <v>0</v>
      </c>
      <c r="AI73" s="179">
        <v>178260.32</v>
      </c>
      <c r="AJ73" s="179">
        <v>156107.09</v>
      </c>
      <c r="AK73" s="179">
        <v>0</v>
      </c>
      <c r="AL73" s="179">
        <v>501276.01</v>
      </c>
      <c r="AM73" s="179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4146.4799999999996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9">
        <v>0</v>
      </c>
      <c r="S74" s="179">
        <v>898</v>
      </c>
      <c r="T74" s="179">
        <v>0</v>
      </c>
      <c r="U74" s="179">
        <v>16340.25</v>
      </c>
      <c r="V74" s="179">
        <v>0</v>
      </c>
      <c r="W74" s="179">
        <v>0</v>
      </c>
      <c r="X74" s="179">
        <v>14384.63</v>
      </c>
      <c r="Y74" s="179">
        <v>10043.280000000001</v>
      </c>
      <c r="Z74" s="179">
        <v>0</v>
      </c>
      <c r="AA74" s="179">
        <v>7434.31</v>
      </c>
      <c r="AB74" s="179">
        <v>1913.1</v>
      </c>
      <c r="AC74" s="179">
        <v>5261.75</v>
      </c>
      <c r="AD74" s="179">
        <v>100059.71</v>
      </c>
      <c r="AE74" s="179">
        <v>0</v>
      </c>
      <c r="AF74" s="179">
        <v>43793.71</v>
      </c>
      <c r="AG74" s="179">
        <v>0</v>
      </c>
      <c r="AH74" s="179">
        <v>3104.46</v>
      </c>
      <c r="AI74" s="179">
        <v>12379.14</v>
      </c>
      <c r="AJ74" s="179">
        <v>10482</v>
      </c>
      <c r="AK74" s="179">
        <v>5029.03</v>
      </c>
      <c r="AL74" s="179">
        <v>0</v>
      </c>
      <c r="AM74" s="179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609820.69000000006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9">
        <v>412958.76000000007</v>
      </c>
      <c r="S75" s="179">
        <v>5818409</v>
      </c>
      <c r="T75" s="179">
        <v>904696.2300000001</v>
      </c>
      <c r="U75" s="179">
        <v>2950842.09</v>
      </c>
      <c r="V75" s="179">
        <v>5928444.21</v>
      </c>
      <c r="W75" s="179">
        <v>7618251.0999999987</v>
      </c>
      <c r="X75" s="179">
        <v>3929843.9499999997</v>
      </c>
      <c r="Y75" s="179">
        <v>952170.96</v>
      </c>
      <c r="Z75" s="179">
        <v>375399.47</v>
      </c>
      <c r="AA75" s="179">
        <v>1230606.48</v>
      </c>
      <c r="AB75" s="179">
        <v>324276.52</v>
      </c>
      <c r="AC75" s="179">
        <v>849037.74999999988</v>
      </c>
      <c r="AD75" s="179">
        <v>27082895.480000004</v>
      </c>
      <c r="AE75" s="179">
        <v>3497132.8700000006</v>
      </c>
      <c r="AF75" s="179">
        <v>18106281.680000003</v>
      </c>
      <c r="AG75" s="179">
        <v>4163235.27</v>
      </c>
      <c r="AH75" s="179">
        <v>416582.59</v>
      </c>
      <c r="AI75" s="179">
        <v>2719022.83</v>
      </c>
      <c r="AJ75" s="179">
        <v>1826719.0999999999</v>
      </c>
      <c r="AK75" s="179">
        <v>566268.85000000009</v>
      </c>
      <c r="AL75" s="179">
        <v>3207001.6900000004</v>
      </c>
      <c r="AM75" s="179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34417.56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9">
        <v>8280.85</v>
      </c>
      <c r="S76" s="179">
        <v>133208</v>
      </c>
      <c r="T76" s="179">
        <v>0</v>
      </c>
      <c r="U76" s="179">
        <v>80563.05</v>
      </c>
      <c r="V76" s="179">
        <v>37267.589999999997</v>
      </c>
      <c r="W76" s="179">
        <v>25449.03</v>
      </c>
      <c r="X76" s="179">
        <v>58796.72</v>
      </c>
      <c r="Y76" s="179">
        <v>5519.88</v>
      </c>
      <c r="Z76" s="179">
        <v>14916.1</v>
      </c>
      <c r="AA76" s="179">
        <v>29679.8</v>
      </c>
      <c r="AB76" s="179">
        <v>1854</v>
      </c>
      <c r="AC76" s="179">
        <v>27207.360000000001</v>
      </c>
      <c r="AD76" s="179">
        <v>0</v>
      </c>
      <c r="AE76" s="179">
        <v>103023.12</v>
      </c>
      <c r="AF76" s="179">
        <v>434110.3</v>
      </c>
      <c r="AG76" s="179">
        <v>25072.39</v>
      </c>
      <c r="AH76" s="179">
        <v>5757.48</v>
      </c>
      <c r="AI76" s="179">
        <v>21205.73</v>
      </c>
      <c r="AJ76" s="179">
        <v>0</v>
      </c>
      <c r="AK76" s="179">
        <v>17957.43</v>
      </c>
      <c r="AL76" s="179">
        <v>0</v>
      </c>
      <c r="AM76" s="179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9">
        <v>0</v>
      </c>
      <c r="S77" s="179">
        <v>0</v>
      </c>
      <c r="T77" s="179">
        <v>0</v>
      </c>
      <c r="U77" s="179">
        <v>0</v>
      </c>
      <c r="V77" s="179">
        <v>0</v>
      </c>
      <c r="W77" s="179">
        <v>0</v>
      </c>
      <c r="X77" s="179">
        <v>0</v>
      </c>
      <c r="Y77" s="179">
        <v>0</v>
      </c>
      <c r="Z77" s="179">
        <v>0</v>
      </c>
      <c r="AA77" s="179">
        <v>0</v>
      </c>
      <c r="AB77" s="179">
        <v>0</v>
      </c>
      <c r="AC77" s="179">
        <v>0</v>
      </c>
      <c r="AD77" s="179">
        <v>0</v>
      </c>
      <c r="AE77" s="179">
        <v>0</v>
      </c>
      <c r="AF77" s="179">
        <v>0</v>
      </c>
      <c r="AG77" s="179">
        <v>0</v>
      </c>
      <c r="AH77" s="179">
        <v>0</v>
      </c>
      <c r="AI77" s="179">
        <v>0</v>
      </c>
      <c r="AJ77" s="179">
        <v>0</v>
      </c>
      <c r="AK77" s="179">
        <v>0</v>
      </c>
      <c r="AL77" s="179">
        <v>0</v>
      </c>
      <c r="AM77" s="179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34417.56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9">
        <v>8280.85</v>
      </c>
      <c r="S78" s="179">
        <v>133208</v>
      </c>
      <c r="T78" s="179">
        <v>0</v>
      </c>
      <c r="U78" s="179">
        <v>80563.05</v>
      </c>
      <c r="V78" s="179">
        <v>37267.589999999997</v>
      </c>
      <c r="W78" s="179">
        <v>25449.03</v>
      </c>
      <c r="X78" s="179">
        <v>58796.72</v>
      </c>
      <c r="Y78" s="179">
        <v>5519.88</v>
      </c>
      <c r="Z78" s="179">
        <v>14916.1</v>
      </c>
      <c r="AA78" s="179">
        <v>29679.8</v>
      </c>
      <c r="AB78" s="179">
        <v>1854</v>
      </c>
      <c r="AC78" s="179">
        <v>27207.360000000001</v>
      </c>
      <c r="AD78" s="179">
        <v>0</v>
      </c>
      <c r="AE78" s="179">
        <v>103023.12</v>
      </c>
      <c r="AF78" s="179">
        <v>434110.3</v>
      </c>
      <c r="AG78" s="179">
        <v>25072.39</v>
      </c>
      <c r="AH78" s="179">
        <v>5757.48</v>
      </c>
      <c r="AI78" s="179">
        <v>21205.73</v>
      </c>
      <c r="AJ78" s="179">
        <v>0</v>
      </c>
      <c r="AK78" s="179">
        <v>17957.43</v>
      </c>
      <c r="AL78" s="179">
        <v>0</v>
      </c>
      <c r="AM78" s="179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9">
        <v>0</v>
      </c>
      <c r="S79" s="179">
        <v>0</v>
      </c>
      <c r="T79" s="179">
        <v>888.6</v>
      </c>
      <c r="U79" s="179">
        <v>0</v>
      </c>
      <c r="V79" s="179">
        <v>0</v>
      </c>
      <c r="W79" s="179">
        <v>0</v>
      </c>
      <c r="X79" s="179">
        <v>0</v>
      </c>
      <c r="Y79" s="179">
        <v>0</v>
      </c>
      <c r="Z79" s="179">
        <v>0</v>
      </c>
      <c r="AA79" s="179">
        <v>0</v>
      </c>
      <c r="AB79" s="179">
        <v>0</v>
      </c>
      <c r="AC79" s="179">
        <v>100</v>
      </c>
      <c r="AD79" s="179">
        <v>0</v>
      </c>
      <c r="AE79" s="179">
        <v>0</v>
      </c>
      <c r="AF79" s="179">
        <v>0</v>
      </c>
      <c r="AG79" s="179">
        <v>7043.8</v>
      </c>
      <c r="AH79" s="179">
        <v>0</v>
      </c>
      <c r="AI79" s="179">
        <v>0</v>
      </c>
      <c r="AJ79" s="179">
        <v>0</v>
      </c>
      <c r="AK79" s="179">
        <v>0</v>
      </c>
      <c r="AL79" s="179">
        <v>0</v>
      </c>
      <c r="AM79" s="179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9">
        <v>0</v>
      </c>
      <c r="S80" s="179">
        <v>0</v>
      </c>
      <c r="T80" s="179">
        <v>888.6</v>
      </c>
      <c r="U80" s="179">
        <v>0</v>
      </c>
      <c r="V80" s="179">
        <v>0</v>
      </c>
      <c r="W80" s="179">
        <v>0</v>
      </c>
      <c r="X80" s="179">
        <v>0</v>
      </c>
      <c r="Y80" s="179">
        <v>0</v>
      </c>
      <c r="Z80" s="179">
        <v>0</v>
      </c>
      <c r="AA80" s="179">
        <v>0</v>
      </c>
      <c r="AB80" s="179">
        <v>0</v>
      </c>
      <c r="AC80" s="179">
        <v>100</v>
      </c>
      <c r="AD80" s="179">
        <v>0</v>
      </c>
      <c r="AE80" s="179">
        <v>0</v>
      </c>
      <c r="AF80" s="179">
        <v>0</v>
      </c>
      <c r="AG80" s="179">
        <v>7043.8</v>
      </c>
      <c r="AH80" s="179">
        <v>0</v>
      </c>
      <c r="AI80" s="179">
        <v>0</v>
      </c>
      <c r="AJ80" s="179">
        <v>0</v>
      </c>
      <c r="AK80" s="179">
        <v>0</v>
      </c>
      <c r="AL80" s="179">
        <v>0</v>
      </c>
      <c r="AM80" s="179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2224139.6800000006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9">
        <v>1025877.1</v>
      </c>
      <c r="S81" s="179">
        <v>11871274</v>
      </c>
      <c r="T81" s="179">
        <v>3116599.22</v>
      </c>
      <c r="U81" s="179">
        <v>8928286.1099999994</v>
      </c>
      <c r="V81" s="179">
        <v>17198232.16</v>
      </c>
      <c r="W81" s="179">
        <v>14214848.199999997</v>
      </c>
      <c r="X81" s="179">
        <v>9162574.1500000004</v>
      </c>
      <c r="Y81" s="179">
        <v>2055673.8599999999</v>
      </c>
      <c r="Z81" s="179">
        <v>709664.39</v>
      </c>
      <c r="AA81" s="179">
        <v>4651326.96</v>
      </c>
      <c r="AB81" s="179">
        <v>606071.10000000009</v>
      </c>
      <c r="AC81" s="179">
        <v>2554354.5099999998</v>
      </c>
      <c r="AD81" s="179">
        <v>58060011.620000005</v>
      </c>
      <c r="AE81" s="179">
        <v>8683961.6599999983</v>
      </c>
      <c r="AF81" s="179">
        <v>23431044.850000005</v>
      </c>
      <c r="AG81" s="179">
        <v>5692604.4199999999</v>
      </c>
      <c r="AH81" s="179">
        <v>1309715.49</v>
      </c>
      <c r="AI81" s="179">
        <v>6560476.5200000014</v>
      </c>
      <c r="AJ81" s="179">
        <v>5210731.8599999994</v>
      </c>
      <c r="AK81" s="179">
        <v>1586089.66</v>
      </c>
      <c r="AL81" s="179">
        <v>13042208.789999999</v>
      </c>
      <c r="AM81" s="179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90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0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0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3596.37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3596.37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>HLOOKUP($E$3,$P$3:$CI$269,O88,FALSE)</f>
        <v>72978.700500000006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2293522.0105000003</v>
      </c>
      <c r="H89" s="186">
        <f>'Model Inputs'!H32</f>
        <v>2540569.81</v>
      </c>
      <c r="I89" s="187">
        <f>'Model Inputs'!I32</f>
        <v>2728262</v>
      </c>
      <c r="J89" s="187">
        <f>'Model Inputs'!J32</f>
        <v>0</v>
      </c>
      <c r="K89" s="187">
        <f>'Model Inputs'!K32</f>
        <v>0</v>
      </c>
      <c r="L89" s="187">
        <f>'Model Inputs'!L32</f>
        <v>0</v>
      </c>
      <c r="M89" s="188">
        <f>'Model Inputs'!M32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424755</v>
      </c>
      <c r="H92" s="186">
        <f>'Model Inputs'!H10</f>
        <v>962243</v>
      </c>
      <c r="I92" s="187">
        <f>'Model Inputs'!I10</f>
        <v>777500</v>
      </c>
      <c r="J92" s="187">
        <f>'Model Inputs'!J10</f>
        <v>0</v>
      </c>
      <c r="K92" s="187">
        <f>'Model Inputs'!K10</f>
        <v>0</v>
      </c>
      <c r="L92" s="187">
        <f>'Model Inputs'!L10</f>
        <v>0</v>
      </c>
      <c r="M92" s="188">
        <f>'Model Inputs'!M10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6">
        <f>'Model Inputs'!H11</f>
        <v>0</v>
      </c>
      <c r="I93" s="187">
        <f>'Model Inputs'!I11</f>
        <v>0</v>
      </c>
      <c r="J93" s="187">
        <f>'Model Inputs'!J11</f>
        <v>0</v>
      </c>
      <c r="K93" s="187">
        <f>'Model Inputs'!K11</f>
        <v>0</v>
      </c>
      <c r="L93" s="187">
        <f>'Model Inputs'!L11</f>
        <v>0</v>
      </c>
      <c r="M93" s="188">
        <f>'Model Inputs'!M11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6075</v>
      </c>
      <c r="H96" s="186">
        <f>'Model Inputs'!H14</f>
        <v>6074</v>
      </c>
      <c r="I96" s="187">
        <f>'Model Inputs'!I14</f>
        <v>6071</v>
      </c>
      <c r="J96" s="187">
        <f>'Model Inputs'!J14</f>
        <v>0</v>
      </c>
      <c r="K96" s="187">
        <f>'Model Inputs'!K14</f>
        <v>0</v>
      </c>
      <c r="L96" s="187">
        <f>'Model Inputs'!L14</f>
        <v>0</v>
      </c>
      <c r="M96" s="188">
        <f>'Model Inputs'!M14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120944395</v>
      </c>
      <c r="H97" s="186">
        <f>'Model Inputs'!H15</f>
        <v>124919501</v>
      </c>
      <c r="I97" s="187">
        <f>'Model Inputs'!I15</f>
        <v>124227945</v>
      </c>
      <c r="J97" s="187">
        <f>'Model Inputs'!J15</f>
        <v>0</v>
      </c>
      <c r="K97" s="187">
        <f>'Model Inputs'!K15</f>
        <v>0</v>
      </c>
      <c r="L97" s="187">
        <f>'Model Inputs'!L15</f>
        <v>0</v>
      </c>
      <c r="M97" s="188">
        <f>'Model Inputs'!M15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23679</v>
      </c>
      <c r="H98" s="186">
        <f>'Model Inputs'!H16</f>
        <v>23252</v>
      </c>
      <c r="I98" s="187">
        <f>'Model Inputs'!I16</f>
        <v>23250</v>
      </c>
      <c r="J98" s="187">
        <f>'Model Inputs'!J16</f>
        <v>0</v>
      </c>
      <c r="K98" s="187">
        <f>'Model Inputs'!K16</f>
        <v>0</v>
      </c>
      <c r="L98" s="187">
        <f>'Model Inputs'!L16</f>
        <v>0</v>
      </c>
      <c r="M98" s="188">
        <f>'Model Inputs'!M16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370</v>
      </c>
      <c r="H99" s="186">
        <f>'Model Inputs'!H17</f>
        <v>370</v>
      </c>
      <c r="I99" s="187">
        <f>'Model Inputs'!I17</f>
        <v>370</v>
      </c>
      <c r="J99" s="187">
        <f>'Model Inputs'!J17</f>
        <v>0</v>
      </c>
      <c r="K99" s="187">
        <f>'Model Inputs'!K17</f>
        <v>0</v>
      </c>
      <c r="L99" s="187">
        <f>'Model Inputs'!L17</f>
        <v>0</v>
      </c>
      <c r="M99" s="188">
        <f>'Model Inputs'!M17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7" t="s">
        <v>93</v>
      </c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2293522.0105000003</v>
      </c>
      <c r="H107" s="29">
        <f t="shared" ref="H107:K107" si="4">H89</f>
        <v>2540569.81</v>
      </c>
      <c r="I107" s="29">
        <f>I89</f>
        <v>2728262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1">
        <f>'Model Inputs'!H23</f>
        <v>6.0299999999999999E-2</v>
      </c>
      <c r="I110" s="202">
        <f>'Model Inputs'!I23</f>
        <v>5.67E-2</v>
      </c>
      <c r="J110" s="202">
        <f>'Model Inputs'!J23</f>
        <v>0</v>
      </c>
      <c r="K110" s="202">
        <f>'Model Inputs'!K23</f>
        <v>0</v>
      </c>
      <c r="L110" s="202">
        <f>'Model Inputs'!L23</f>
        <v>0</v>
      </c>
      <c r="M110" s="203">
        <f>'Model Inputs'!M23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4">
        <f>G112*EXP('Model Inputs'!H22)</f>
        <v>165.70687961774755</v>
      </c>
      <c r="I112" s="205">
        <f>H112*EXP('Model Inputs'!I22)</f>
        <v>168.33656781093197</v>
      </c>
      <c r="J112" s="205">
        <f>I112*EXP('Model Inputs'!J22)</f>
        <v>168.33656781093197</v>
      </c>
      <c r="K112" s="205">
        <f>J112*EXP('Model Inputs'!K22)</f>
        <v>168.33656781093197</v>
      </c>
      <c r="L112" s="205">
        <f>K112*EXP('Model Inputs'!L22)</f>
        <v>168.33656781093197</v>
      </c>
      <c r="M112" s="206">
        <f>L112*EXP('Model Inputs'!M22)</f>
        <v>168.33656781093197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17.441977539130455</v>
      </c>
      <c r="I113" s="29">
        <f t="shared" si="7"/>
        <v>17.122228536848063</v>
      </c>
      <c r="J113" s="29">
        <f t="shared" si="7"/>
        <v>7.7266484625217782</v>
      </c>
      <c r="K113" s="29">
        <f t="shared" si="7"/>
        <v>7.7266484625217782</v>
      </c>
      <c r="L113" s="29">
        <f t="shared" si="7"/>
        <v>7.7266484625217782</v>
      </c>
      <c r="M113" s="29">
        <f t="shared" si="7"/>
        <v>7.7266484625217782</v>
      </c>
      <c r="N113" s="190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424755</v>
      </c>
      <c r="H114" s="207">
        <f>H92</f>
        <v>962243</v>
      </c>
      <c r="I114" s="208">
        <f t="shared" ref="I114:L114" si="8">I92</f>
        <v>777500</v>
      </c>
      <c r="J114" s="208">
        <f t="shared" si="8"/>
        <v>0</v>
      </c>
      <c r="K114" s="208">
        <f t="shared" si="8"/>
        <v>0</v>
      </c>
      <c r="L114" s="208">
        <f t="shared" si="8"/>
        <v>0</v>
      </c>
      <c r="M114" s="209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10">
        <f>H93</f>
        <v>0</v>
      </c>
      <c r="I115" s="211">
        <f t="shared" ref="I115:L115" si="10">I93</f>
        <v>0</v>
      </c>
      <c r="J115" s="211">
        <f t="shared" si="10"/>
        <v>0</v>
      </c>
      <c r="K115" s="211">
        <f t="shared" si="10"/>
        <v>0</v>
      </c>
      <c r="L115" s="211">
        <f t="shared" si="10"/>
        <v>0</v>
      </c>
      <c r="M115" s="212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2603.9694780148052</v>
      </c>
      <c r="H116" s="8">
        <f t="shared" ref="H116:K116" si="12">(H114-H115)/H112</f>
        <v>5806.8983147815052</v>
      </c>
      <c r="I116" s="8">
        <f>(I114-I115)/I112</f>
        <v>4618.7231337237008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3623.7430079913361</v>
      </c>
      <c r="H117" s="25">
        <f>H111*G118</f>
        <v>3576.9354029654132</v>
      </c>
      <c r="I117" s="25">
        <f>I111*H118</f>
        <v>3679.2907006177711</v>
      </c>
      <c r="J117" s="25">
        <f t="shared" ref="J117:M117" si="14">J111*I118</f>
        <v>3722.4106492973333</v>
      </c>
      <c r="K117" s="25">
        <f t="shared" si="14"/>
        <v>3551.5520004945856</v>
      </c>
      <c r="L117" s="25">
        <f t="shared" si="14"/>
        <v>3388.5357636718841</v>
      </c>
      <c r="M117" s="25">
        <f t="shared" si="14"/>
        <v>3233.0019721193448</v>
      </c>
      <c r="N117" s="191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77928.875881599408</v>
      </c>
      <c r="H118" s="25">
        <f>G118+H116-H117</f>
        <v>80158.838793415489</v>
      </c>
      <c r="I118" s="25">
        <f>H118+I116-I117</f>
        <v>81098.271226521421</v>
      </c>
      <c r="J118" s="25">
        <f t="shared" ref="J118:M118" si="15">I118+J116-J117</f>
        <v>77375.860577224084</v>
      </c>
      <c r="K118" s="25">
        <f t="shared" si="15"/>
        <v>73824.308576729498</v>
      </c>
      <c r="L118" s="25">
        <f t="shared" si="15"/>
        <v>70435.772813057614</v>
      </c>
      <c r="M118" s="25">
        <f t="shared" si="15"/>
        <v>67202.770840938276</v>
      </c>
      <c r="N118" s="191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1397136.8123852497</v>
      </c>
      <c r="H119" s="25">
        <f t="shared" ref="H119:K119" si="16">H113*H118</f>
        <v>1398128.6657975321</v>
      </c>
      <c r="I119" s="25">
        <f>I113*I118</f>
        <v>1388583.1338837892</v>
      </c>
      <c r="J119" s="25">
        <f t="shared" si="16"/>
        <v>597856.07416530792</v>
      </c>
      <c r="K119" s="25">
        <f t="shared" si="16"/>
        <v>570414.48036112031</v>
      </c>
      <c r="L119" s="25">
        <f t="shared" ref="L119:M119" si="17">L113*L118</f>
        <v>544232.45571254485</v>
      </c>
      <c r="M119" s="25">
        <f t="shared" si="17"/>
        <v>519252.18599533912</v>
      </c>
      <c r="N119" s="191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3690658.8228852497</v>
      </c>
      <c r="H121" s="25">
        <f>H107+H119</f>
        <v>3938698.4757975321</v>
      </c>
      <c r="I121" s="25">
        <f>I107+I119</f>
        <v>4116845.1338837892</v>
      </c>
      <c r="J121" s="25">
        <f t="shared" ref="J121:K121" si="18">J107+J119</f>
        <v>597856.07416530792</v>
      </c>
      <c r="K121" s="25">
        <f t="shared" si="18"/>
        <v>570414.48036112031</v>
      </c>
      <c r="L121" s="25">
        <f t="shared" ref="L121:M121" si="19">L107+L119</f>
        <v>544232.45571254485</v>
      </c>
      <c r="M121" s="25">
        <f t="shared" si="19"/>
        <v>519252.18599533912</v>
      </c>
      <c r="N121" s="191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7" t="s">
        <v>108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6075</v>
      </c>
      <c r="H128" s="8">
        <f t="shared" ref="H128:K130" si="20">H96</f>
        <v>6074</v>
      </c>
      <c r="I128" s="8">
        <f t="shared" si="20"/>
        <v>6071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120944395</v>
      </c>
      <c r="H129" s="39">
        <f t="shared" si="20"/>
        <v>124919501</v>
      </c>
      <c r="I129" s="39">
        <f t="shared" si="20"/>
        <v>124227945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2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23679</v>
      </c>
      <c r="H130" s="8">
        <f t="shared" si="20"/>
        <v>23252</v>
      </c>
      <c r="I130" s="8">
        <f t="shared" si="20"/>
        <v>23250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26895</v>
      </c>
      <c r="H131" s="8">
        <f t="shared" ref="H131:M131" si="24">MAX(G131,H130)</f>
        <v>26895</v>
      </c>
      <c r="I131" s="8">
        <f t="shared" si="24"/>
        <v>26895</v>
      </c>
      <c r="J131" s="8">
        <f t="shared" si="24"/>
        <v>26895</v>
      </c>
      <c r="K131" s="8">
        <f t="shared" si="24"/>
        <v>26895</v>
      </c>
      <c r="L131" s="8">
        <f t="shared" si="24"/>
        <v>26895</v>
      </c>
      <c r="M131" s="8">
        <f t="shared" si="24"/>
        <v>26895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3">
        <f>G134*EXP('Model Inputs'!H22)</f>
        <v>117.0535651311439</v>
      </c>
      <c r="I134" s="214">
        <f>H134*EXP('Model Inputs'!I22)</f>
        <v>118.91114870827467</v>
      </c>
      <c r="J134" s="214">
        <f>I134*EXP('Model Inputs'!J22)</f>
        <v>118.91114870827467</v>
      </c>
      <c r="K134" s="214">
        <f>J134*EXP('Model Inputs'!K22)</f>
        <v>118.91114870827467</v>
      </c>
      <c r="L134" s="214">
        <f>K134*EXP('Model Inputs'!L22)</f>
        <v>118.91114870827467</v>
      </c>
      <c r="M134" s="215">
        <f>L134*EXP('Model Inputs'!M22)</f>
        <v>118.91114870827467</v>
      </c>
      <c r="N134" s="220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6">
        <f>G135*EXP('Model Inputs'!H21)</f>
        <v>987.73290943774236</v>
      </c>
      <c r="I135" s="217">
        <f>H135*EXP('Model Inputs'!I21)</f>
        <v>1013.3851655047079</v>
      </c>
      <c r="J135" s="217">
        <f>I135*EXP('Model Inputs'!J21)</f>
        <v>1013.3851655047079</v>
      </c>
      <c r="K135" s="217">
        <f>J135*EXP('Model Inputs'!K21)</f>
        <v>1013.3851655047079</v>
      </c>
      <c r="L135" s="217">
        <f>K135*EXP('Model Inputs'!L21)</f>
        <v>1013.3851655047079</v>
      </c>
      <c r="M135" s="218">
        <f>L135*EXP('Model Inputs'!M21)</f>
        <v>1013.3851655047079</v>
      </c>
      <c r="N135" s="220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2.2671003495575846E-2</v>
      </c>
      <c r="I136" s="40">
        <f t="shared" ref="I136:M136" si="25">LN(I134/H134)*0.3+LN(I135/H135)*0.7</f>
        <v>2.2671003495575846E-2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3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124.57550597437343</v>
      </c>
      <c r="H137" s="29">
        <f t="shared" ref="H137:M137" si="26">G137*EXP(H136)</f>
        <v>127.43201532585269</v>
      </c>
      <c r="I137" s="29">
        <f t="shared" si="26"/>
        <v>130.35402427623998</v>
      </c>
      <c r="J137" s="29">
        <f t="shared" si="26"/>
        <v>130.35402427623998</v>
      </c>
      <c r="K137" s="29">
        <f t="shared" si="26"/>
        <v>130.35402427623998</v>
      </c>
      <c r="L137" s="29">
        <f t="shared" si="26"/>
        <v>130.35402427623998</v>
      </c>
      <c r="M137" s="29">
        <f t="shared" si="26"/>
        <v>130.35402427623998</v>
      </c>
      <c r="N137" s="190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90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17.441977539130455</v>
      </c>
      <c r="I139" s="29">
        <f t="shared" si="27"/>
        <v>17.122228536848063</v>
      </c>
      <c r="J139" s="29">
        <f t="shared" si="27"/>
        <v>7.7266484625217782</v>
      </c>
      <c r="K139" s="29">
        <f t="shared" si="27"/>
        <v>7.7266484625217782</v>
      </c>
      <c r="L139" s="29">
        <f t="shared" ref="L139:M139" si="28">L113</f>
        <v>7.7266484625217782</v>
      </c>
      <c r="M139" s="29">
        <f t="shared" si="28"/>
        <v>7.7266484625217782</v>
      </c>
      <c r="N139" s="190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370</v>
      </c>
      <c r="H142" s="42">
        <f>'Model Inputs'!H17</f>
        <v>370</v>
      </c>
      <c r="I142" s="42">
        <f>'Model Inputs'!I17</f>
        <v>370</v>
      </c>
      <c r="J142" s="42">
        <f>'Model Inputs'!J17</f>
        <v>0</v>
      </c>
      <c r="K142" s="42">
        <f>'Model Inputs'!K17</f>
        <v>0</v>
      </c>
      <c r="L142" s="42">
        <f>'Model Inputs'!L17</f>
        <v>0</v>
      </c>
      <c r="M142" s="42">
        <f>'Model Inputs'!M17</f>
        <v>0</v>
      </c>
      <c r="N142" s="190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370</v>
      </c>
      <c r="H143" s="41">
        <f>(G143*14+H142)/15</f>
        <v>370</v>
      </c>
      <c r="I143" s="41">
        <f>(H143*15+I142)/16</f>
        <v>370</v>
      </c>
      <c r="J143" s="41">
        <f>(I143*16+J142)/17</f>
        <v>348.23529411764707</v>
      </c>
      <c r="K143" s="41">
        <f>(J143*17+K142)/18</f>
        <v>328.88888888888891</v>
      </c>
      <c r="L143" s="41">
        <f>(K143*17+L142)/18</f>
        <v>310.61728395061732</v>
      </c>
      <c r="M143" s="41">
        <f>(L143*17+M142)/18</f>
        <v>293.36076817558302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6202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-2.0477265398258625E-2</v>
      </c>
      <c r="H145" s="30">
        <f>'Model Inputs'!H18</f>
        <v>-9.9429502852486085E-3</v>
      </c>
      <c r="I145" s="30">
        <f>'Model Inputs'!I18</f>
        <v>-6.7081151832460995E-3</v>
      </c>
      <c r="J145" s="30">
        <f>'Model Inputs'!J18</f>
        <v>0</v>
      </c>
      <c r="K145" s="30">
        <f>'Model Inputs'!K18</f>
        <v>0</v>
      </c>
      <c r="L145" s="30">
        <f>'Model Inputs'!L18</f>
        <v>0</v>
      </c>
      <c r="M145" s="30">
        <f>'Model Inputs'!M18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4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0.14391559726597888</v>
      </c>
      <c r="H152" s="44">
        <f t="shared" ref="H152:K152" si="31">H113/H137</f>
        <v>0.13687280621380807</v>
      </c>
      <c r="I152" s="44">
        <f t="shared" si="31"/>
        <v>0.13135174484957562</v>
      </c>
      <c r="J152" s="44">
        <f t="shared" si="31"/>
        <v>5.9274337753837475E-2</v>
      </c>
      <c r="K152" s="44">
        <f t="shared" si="31"/>
        <v>5.9274337753837475E-2</v>
      </c>
      <c r="L152" s="44">
        <f t="shared" ref="L152:M152" si="32">L113/L137</f>
        <v>5.9274337753837475E-2</v>
      </c>
      <c r="M152" s="44">
        <f t="shared" si="32"/>
        <v>5.9274337753837475E-2</v>
      </c>
      <c r="N152" s="195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6075</v>
      </c>
      <c r="H153" s="25">
        <f t="shared" ref="H153:K153" si="33">H96</f>
        <v>6074</v>
      </c>
      <c r="I153" s="25">
        <f t="shared" si="33"/>
        <v>6071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1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26895</v>
      </c>
      <c r="H154" s="25">
        <f t="shared" ref="H154:K154" si="35">H131</f>
        <v>26895</v>
      </c>
      <c r="I154" s="25">
        <f t="shared" si="35"/>
        <v>26895</v>
      </c>
      <c r="J154" s="25">
        <f t="shared" si="35"/>
        <v>26895</v>
      </c>
      <c r="K154" s="25">
        <f t="shared" si="35"/>
        <v>26895</v>
      </c>
      <c r="L154" s="25">
        <f t="shared" ref="L154:M154" si="36">L131</f>
        <v>26895</v>
      </c>
      <c r="M154" s="25">
        <f t="shared" si="36"/>
        <v>26895</v>
      </c>
      <c r="N154" s="191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120944395</v>
      </c>
      <c r="H155" s="39">
        <f t="shared" ref="H155:K155" si="37">H97</f>
        <v>124919501</v>
      </c>
      <c r="I155" s="39">
        <f t="shared" si="37"/>
        <v>124227945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2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370</v>
      </c>
      <c r="H156" s="45">
        <f t="shared" ref="H156:K156" si="39">H143</f>
        <v>370</v>
      </c>
      <c r="I156" s="45">
        <f t="shared" si="39"/>
        <v>370</v>
      </c>
      <c r="J156" s="45">
        <f t="shared" si="39"/>
        <v>348.23529411764707</v>
      </c>
      <c r="K156" s="45">
        <f t="shared" si="39"/>
        <v>328.88888888888891</v>
      </c>
      <c r="L156" s="45">
        <f t="shared" ref="L156:M156" si="40">L143</f>
        <v>310.61728395061732</v>
      </c>
      <c r="M156" s="45">
        <f t="shared" si="40"/>
        <v>293.36076817558302</v>
      </c>
      <c r="N156" s="196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-2.0477265398258625E-2</v>
      </c>
      <c r="H157" s="31">
        <f t="shared" ref="H157:L157" si="41">H145</f>
        <v>-9.9429502852486085E-3</v>
      </c>
      <c r="I157" s="31">
        <f t="shared" si="41"/>
        <v>-6.7081151832460995E-3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12.831090199996751</v>
      </c>
      <c r="H162" s="49">
        <f t="shared" ref="H162:M179" si="45">G162</f>
        <v>12.831090199996751</v>
      </c>
      <c r="I162" s="49">
        <f t="shared" si="45"/>
        <v>12.831090199996751</v>
      </c>
      <c r="J162" s="49">
        <f t="shared" si="45"/>
        <v>12.831090199996751</v>
      </c>
      <c r="K162" s="49">
        <f t="shared" si="45"/>
        <v>12.831090199996751</v>
      </c>
      <c r="L162" s="49">
        <f t="shared" si="45"/>
        <v>12.831090199996751</v>
      </c>
      <c r="M162" s="49">
        <f t="shared" si="45"/>
        <v>12.831090199996751</v>
      </c>
      <c r="N162" s="197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0.62680751453324146</v>
      </c>
      <c r="H163" s="49">
        <f t="shared" si="45"/>
        <v>0.62680751453324146</v>
      </c>
      <c r="I163" s="49">
        <f t="shared" si="45"/>
        <v>0.62680751453324146</v>
      </c>
      <c r="J163" s="49">
        <f t="shared" si="45"/>
        <v>0.62680751453324146</v>
      </c>
      <c r="K163" s="49">
        <f t="shared" si="45"/>
        <v>0.62680751453324146</v>
      </c>
      <c r="L163" s="49">
        <f t="shared" si="45"/>
        <v>0.62680751453324146</v>
      </c>
      <c r="M163" s="49">
        <f t="shared" si="45"/>
        <v>0.62680751453324146</v>
      </c>
      <c r="N163" s="197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0.42476869962767549</v>
      </c>
      <c r="H164" s="49">
        <f t="shared" si="45"/>
        <v>0.42476869962767549</v>
      </c>
      <c r="I164" s="49">
        <f t="shared" si="45"/>
        <v>0.42476869962767549</v>
      </c>
      <c r="J164" s="49">
        <f t="shared" si="45"/>
        <v>0.42476869962767549</v>
      </c>
      <c r="K164" s="49">
        <f t="shared" si="45"/>
        <v>0.42476869962767549</v>
      </c>
      <c r="L164" s="49">
        <f t="shared" si="45"/>
        <v>0.42476869962767549</v>
      </c>
      <c r="M164" s="49">
        <f t="shared" si="45"/>
        <v>0.42476869962767549</v>
      </c>
      <c r="N164" s="197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0.14776809242987449</v>
      </c>
      <c r="H165" s="49">
        <f>G165</f>
        <v>0.14776809242987449</v>
      </c>
      <c r="I165" s="49">
        <f t="shared" si="45"/>
        <v>0.14776809242987449</v>
      </c>
      <c r="J165" s="49">
        <f t="shared" si="45"/>
        <v>0.14776809242987449</v>
      </c>
      <c r="K165" s="49">
        <f t="shared" si="45"/>
        <v>0.14776809242987449</v>
      </c>
      <c r="L165" s="49">
        <f t="shared" si="45"/>
        <v>0.14776809242987449</v>
      </c>
      <c r="M165" s="49">
        <f t="shared" si="45"/>
        <v>0.14776809242987449</v>
      </c>
      <c r="N165" s="197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0.11598211536671865</v>
      </c>
      <c r="H166" s="49">
        <f t="shared" si="45"/>
        <v>0.11598211536671865</v>
      </c>
      <c r="I166" s="49">
        <f t="shared" si="45"/>
        <v>0.11598211536671865</v>
      </c>
      <c r="J166" s="49">
        <f t="shared" si="45"/>
        <v>0.11598211536671865</v>
      </c>
      <c r="K166" s="49">
        <f t="shared" si="45"/>
        <v>0.11598211536671865</v>
      </c>
      <c r="L166" s="49">
        <f t="shared" si="45"/>
        <v>0.11598211536671865</v>
      </c>
      <c r="M166" s="49">
        <f t="shared" si="45"/>
        <v>0.11598211536671865</v>
      </c>
      <c r="N166" s="197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0.111167860155029</v>
      </c>
      <c r="H167" s="49">
        <f t="shared" si="45"/>
        <v>0.111167860155029</v>
      </c>
      <c r="I167" s="49">
        <f t="shared" si="45"/>
        <v>0.111167860155029</v>
      </c>
      <c r="J167" s="49">
        <f t="shared" si="45"/>
        <v>0.111167860155029</v>
      </c>
      <c r="K167" s="49">
        <f t="shared" si="45"/>
        <v>0.111167860155029</v>
      </c>
      <c r="L167" s="49">
        <f t="shared" si="45"/>
        <v>0.111167860155029</v>
      </c>
      <c r="M167" s="49">
        <f t="shared" si="45"/>
        <v>0.111167860155029</v>
      </c>
      <c r="N167" s="197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-0.51829590350545818</v>
      </c>
      <c r="H168" s="49">
        <f t="shared" si="45"/>
        <v>-0.51829590350545818</v>
      </c>
      <c r="I168" s="49">
        <f t="shared" si="45"/>
        <v>-0.51829590350545818</v>
      </c>
      <c r="J168" s="49">
        <f t="shared" si="45"/>
        <v>-0.51829590350545818</v>
      </c>
      <c r="K168" s="49">
        <f t="shared" si="45"/>
        <v>-0.51829590350545818</v>
      </c>
      <c r="L168" s="49">
        <f t="shared" si="45"/>
        <v>-0.51829590350545818</v>
      </c>
      <c r="M168" s="49">
        <f t="shared" si="45"/>
        <v>-0.51829590350545818</v>
      </c>
      <c r="N168" s="197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0.16659946607288456</v>
      </c>
      <c r="H169" s="49">
        <f t="shared" si="45"/>
        <v>0.16659946607288456</v>
      </c>
      <c r="I169" s="49">
        <f t="shared" si="45"/>
        <v>0.16659946607288456</v>
      </c>
      <c r="J169" s="49">
        <f t="shared" si="45"/>
        <v>0.16659946607288456</v>
      </c>
      <c r="K169" s="49">
        <f t="shared" si="45"/>
        <v>0.16659946607288456</v>
      </c>
      <c r="L169" s="49">
        <f t="shared" si="45"/>
        <v>0.16659946607288456</v>
      </c>
      <c r="M169" s="49">
        <f t="shared" si="45"/>
        <v>0.16659946607288456</v>
      </c>
      <c r="N169" s="197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0.17821555056517674</v>
      </c>
      <c r="H170" s="49">
        <f t="shared" si="45"/>
        <v>0.17821555056517674</v>
      </c>
      <c r="I170" s="49">
        <f t="shared" si="45"/>
        <v>0.17821555056517674</v>
      </c>
      <c r="J170" s="49">
        <f t="shared" si="45"/>
        <v>0.17821555056517674</v>
      </c>
      <c r="K170" s="49">
        <f t="shared" si="45"/>
        <v>0.17821555056517674</v>
      </c>
      <c r="L170" s="49">
        <f t="shared" si="45"/>
        <v>0.17821555056517674</v>
      </c>
      <c r="M170" s="49">
        <f t="shared" si="45"/>
        <v>0.17821555056517674</v>
      </c>
      <c r="N170" s="197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5.4392669295586948E-2</v>
      </c>
      <c r="H171" s="49">
        <f t="shared" si="45"/>
        <v>5.4392669295586948E-2</v>
      </c>
      <c r="I171" s="49">
        <f t="shared" si="45"/>
        <v>5.4392669295586948E-2</v>
      </c>
      <c r="J171" s="49">
        <f t="shared" si="45"/>
        <v>5.4392669295586948E-2</v>
      </c>
      <c r="K171" s="49">
        <f t="shared" si="45"/>
        <v>5.4392669295586948E-2</v>
      </c>
      <c r="L171" s="49">
        <f t="shared" si="45"/>
        <v>5.4392669295586948E-2</v>
      </c>
      <c r="M171" s="49">
        <f t="shared" si="45"/>
        <v>5.4392669295586948E-2</v>
      </c>
      <c r="N171" s="197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6.4690505508058771E-3</v>
      </c>
      <c r="H172" s="49">
        <f t="shared" si="45"/>
        <v>6.4690505508058771E-3</v>
      </c>
      <c r="I172" s="49">
        <f t="shared" si="45"/>
        <v>6.4690505508058771E-3</v>
      </c>
      <c r="J172" s="49">
        <f t="shared" si="45"/>
        <v>6.4690505508058771E-3</v>
      </c>
      <c r="K172" s="49">
        <f t="shared" si="45"/>
        <v>6.4690505508058771E-3</v>
      </c>
      <c r="L172" s="49">
        <f t="shared" si="45"/>
        <v>6.4690505508058771E-3</v>
      </c>
      <c r="M172" s="49">
        <f t="shared" si="45"/>
        <v>6.4690505508058771E-3</v>
      </c>
      <c r="N172" s="197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-1.4618171876717989E-4</v>
      </c>
      <c r="H173" s="49">
        <f t="shared" si="45"/>
        <v>-1.4618171876717989E-4</v>
      </c>
      <c r="I173" s="49">
        <f t="shared" si="45"/>
        <v>-1.4618171876717989E-4</v>
      </c>
      <c r="J173" s="49">
        <f t="shared" si="45"/>
        <v>-1.4618171876717989E-4</v>
      </c>
      <c r="K173" s="49">
        <f t="shared" si="45"/>
        <v>-1.4618171876717989E-4</v>
      </c>
      <c r="L173" s="49">
        <f t="shared" si="45"/>
        <v>-1.4618171876717989E-4</v>
      </c>
      <c r="M173" s="49">
        <f t="shared" si="45"/>
        <v>-1.4618171876717989E-4</v>
      </c>
      <c r="N173" s="197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0.2326447049863789</v>
      </c>
      <c r="H174" s="49">
        <f t="shared" si="45"/>
        <v>0.2326447049863789</v>
      </c>
      <c r="I174" s="49">
        <f t="shared" si="45"/>
        <v>0.2326447049863789</v>
      </c>
      <c r="J174" s="49">
        <f t="shared" si="45"/>
        <v>0.2326447049863789</v>
      </c>
      <c r="K174" s="49">
        <f t="shared" si="45"/>
        <v>0.2326447049863789</v>
      </c>
      <c r="L174" s="49">
        <f t="shared" si="45"/>
        <v>0.2326447049863789</v>
      </c>
      <c r="M174" s="49">
        <f t="shared" si="45"/>
        <v>0.2326447049863789</v>
      </c>
      <c r="N174" s="197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0.10871200396356162</v>
      </c>
      <c r="H175" s="49">
        <f t="shared" si="45"/>
        <v>0.10871200396356162</v>
      </c>
      <c r="I175" s="49">
        <f t="shared" si="45"/>
        <v>0.10871200396356162</v>
      </c>
      <c r="J175" s="49">
        <f t="shared" si="45"/>
        <v>0.10871200396356162</v>
      </c>
      <c r="K175" s="49">
        <f t="shared" si="45"/>
        <v>0.10871200396356162</v>
      </c>
      <c r="L175" s="49">
        <f t="shared" si="45"/>
        <v>0.10871200396356162</v>
      </c>
      <c r="M175" s="49">
        <f t="shared" si="45"/>
        <v>0.10871200396356162</v>
      </c>
      <c r="N175" s="197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-0.25473357491781701</v>
      </c>
      <c r="H176" s="49">
        <f t="shared" si="45"/>
        <v>-0.25473357491781701</v>
      </c>
      <c r="I176" s="49">
        <f t="shared" si="45"/>
        <v>-0.25473357491781701</v>
      </c>
      <c r="J176" s="49">
        <f t="shared" si="45"/>
        <v>-0.25473357491781701</v>
      </c>
      <c r="K176" s="49">
        <f t="shared" si="45"/>
        <v>-0.25473357491781701</v>
      </c>
      <c r="L176" s="49">
        <f t="shared" si="45"/>
        <v>-0.25473357491781701</v>
      </c>
      <c r="M176" s="49">
        <f t="shared" si="45"/>
        <v>-0.25473357491781701</v>
      </c>
      <c r="N176" s="197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0.30806351907524121</v>
      </c>
      <c r="H177" s="49">
        <f t="shared" si="45"/>
        <v>0.30806351907524121</v>
      </c>
      <c r="I177" s="49">
        <f t="shared" si="45"/>
        <v>0.30806351907524121</v>
      </c>
      <c r="J177" s="49">
        <f t="shared" si="45"/>
        <v>0.30806351907524121</v>
      </c>
      <c r="K177" s="49">
        <f t="shared" si="45"/>
        <v>0.30806351907524121</v>
      </c>
      <c r="L177" s="49">
        <f t="shared" si="45"/>
        <v>0.30806351907524121</v>
      </c>
      <c r="M177" s="49">
        <f t="shared" si="45"/>
        <v>0.30806351907524121</v>
      </c>
      <c r="N177" s="197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1.3387604712142648E-2</v>
      </c>
      <c r="H178" s="49">
        <f t="shared" si="45"/>
        <v>1.3387604712142648E-2</v>
      </c>
      <c r="I178" s="49">
        <f t="shared" si="45"/>
        <v>1.3387604712142648E-2</v>
      </c>
      <c r="J178" s="49">
        <f t="shared" si="45"/>
        <v>1.3387604712142648E-2</v>
      </c>
      <c r="K178" s="49">
        <f t="shared" si="45"/>
        <v>1.3387604712142648E-2</v>
      </c>
      <c r="L178" s="49">
        <f t="shared" si="45"/>
        <v>1.3387604712142648E-2</v>
      </c>
      <c r="M178" s="49">
        <f t="shared" si="45"/>
        <v>1.3387604712142648E-2</v>
      </c>
      <c r="N178" s="197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1.7635386805908114E-2</v>
      </c>
      <c r="H179" s="49">
        <f t="shared" si="45"/>
        <v>1.7635386805908114E-2</v>
      </c>
      <c r="I179" s="49">
        <f t="shared" si="45"/>
        <v>1.7635386805908114E-2</v>
      </c>
      <c r="J179" s="49">
        <f t="shared" si="45"/>
        <v>1.7635386805908114E-2</v>
      </c>
      <c r="K179" s="49">
        <f t="shared" si="45"/>
        <v>1.7635386805908114E-2</v>
      </c>
      <c r="L179" s="49">
        <f t="shared" si="45"/>
        <v>1.7635386805908114E-2</v>
      </c>
      <c r="M179" s="49">
        <f t="shared" si="45"/>
        <v>1.7635386805908114E-2</v>
      </c>
      <c r="N179" s="197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7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7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7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7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1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7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7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7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7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7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7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7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7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7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7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1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7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7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8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-0.13307548498484409</v>
      </c>
      <c r="H206" s="48">
        <f t="shared" ref="H206:K209" si="49">LN(H152/H184)</f>
        <v>-0.18325040984143479</v>
      </c>
      <c r="I206" s="48">
        <f t="shared" si="49"/>
        <v>-0.22442368260787768</v>
      </c>
      <c r="J206" s="48">
        <f t="shared" si="49"/>
        <v>-1.0201260231693365</v>
      </c>
      <c r="K206" s="48">
        <f t="shared" si="49"/>
        <v>-1.0201260231693365</v>
      </c>
      <c r="L206" s="48">
        <f t="shared" ref="L206:M206" si="50">LN(L152/L184)</f>
        <v>-1.0201260231693365</v>
      </c>
      <c r="M206" s="48">
        <f t="shared" si="50"/>
        <v>-1.0201260231693365</v>
      </c>
      <c r="N206" s="198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-2.3456337314424967</v>
      </c>
      <c r="H207" s="48">
        <f t="shared" si="49"/>
        <v>-2.3457983540455514</v>
      </c>
      <c r="I207" s="48">
        <f t="shared" si="49"/>
        <v>-2.3462923845208117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8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-2.5519779067645927</v>
      </c>
      <c r="H208" s="48">
        <f t="shared" si="49"/>
        <v>-2.5519779067645927</v>
      </c>
      <c r="I208" s="48">
        <f t="shared" si="49"/>
        <v>-2.5519779067645927</v>
      </c>
      <c r="J208" s="48">
        <f t="shared" si="49"/>
        <v>-2.5519779067645927</v>
      </c>
      <c r="K208" s="48">
        <f t="shared" si="49"/>
        <v>-2.5519779067645927</v>
      </c>
      <c r="L208" s="48">
        <f t="shared" ref="L208:M208" si="52">LN(L154/L186)</f>
        <v>-2.5519779067645927</v>
      </c>
      <c r="M208" s="48">
        <f t="shared" si="52"/>
        <v>-2.5519779067645927</v>
      </c>
      <c r="N208" s="198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-2.6012056023909995</v>
      </c>
      <c r="H209" s="48">
        <f t="shared" si="49"/>
        <v>-2.5688669590594393</v>
      </c>
      <c r="I209" s="48">
        <f t="shared" si="49"/>
        <v>-2.5744183527191482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8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8.8545423519757315E-3</v>
      </c>
      <c r="H210" s="48">
        <f t="shared" ref="H210:K213" si="54">H206*H206/2</f>
        <v>1.6790356353526908E-2</v>
      </c>
      <c r="I210" s="48">
        <f t="shared" si="54"/>
        <v>2.5182994657640709E-2</v>
      </c>
      <c r="J210" s="48">
        <f t="shared" si="54"/>
        <v>0.52032855157364288</v>
      </c>
      <c r="K210" s="48">
        <f t="shared" si="54"/>
        <v>0.52032855157364288</v>
      </c>
      <c r="L210" s="48">
        <f t="shared" ref="L210:M210" si="55">L206*L206/2</f>
        <v>0.52032855157364288</v>
      </c>
      <c r="M210" s="48">
        <f t="shared" si="55"/>
        <v>0.52032855157364288</v>
      </c>
      <c r="N210" s="198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2.7509988010404252</v>
      </c>
      <c r="H211" s="48">
        <f t="shared" si="54"/>
        <v>2.7513849589214088</v>
      </c>
      <c r="I211" s="48">
        <f t="shared" si="54"/>
        <v>2.7525439768301783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8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3.2562956183072962</v>
      </c>
      <c r="H212" s="48">
        <f t="shared" si="54"/>
        <v>3.2562956183072962</v>
      </c>
      <c r="I212" s="48">
        <f t="shared" si="54"/>
        <v>3.2562956183072962</v>
      </c>
      <c r="J212" s="48">
        <f t="shared" si="54"/>
        <v>3.2562956183072962</v>
      </c>
      <c r="K212" s="48">
        <f t="shared" si="54"/>
        <v>3.2562956183072962</v>
      </c>
      <c r="L212" s="48">
        <f t="shared" ref="L212:M212" si="57">L208*L208/2</f>
        <v>3.2562956183072962</v>
      </c>
      <c r="M212" s="48">
        <f t="shared" si="57"/>
        <v>3.2562956183072962</v>
      </c>
      <c r="N212" s="198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3.3831352929551612</v>
      </c>
      <c r="H213" s="48">
        <f t="shared" si="54"/>
        <v>3.2995387266736453</v>
      </c>
      <c r="I213" s="48">
        <f t="shared" si="54"/>
        <v>3.3138149274085862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8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0.31214634640851979</v>
      </c>
      <c r="H214" s="48">
        <f t="shared" ref="H214:K214" si="59">H206*H207</f>
        <v>0.42986850978421043</v>
      </c>
      <c r="I214" s="48">
        <f t="shared" si="59"/>
        <v>0.52656357740897908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8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0.33960569761330539</v>
      </c>
      <c r="H215" s="48">
        <f t="shared" ref="H215:K215" si="61">H206*H208</f>
        <v>0.46765099732089849</v>
      </c>
      <c r="I215" s="48">
        <f t="shared" si="61"/>
        <v>0.57272427977005302</v>
      </c>
      <c r="J215" s="48">
        <f t="shared" si="61"/>
        <v>2.603339073243772</v>
      </c>
      <c r="K215" s="48">
        <f t="shared" si="61"/>
        <v>2.603339073243772</v>
      </c>
      <c r="L215" s="48">
        <f t="shared" ref="L215:M215" si="62">L206*L208</f>
        <v>2.603339073243772</v>
      </c>
      <c r="M215" s="48">
        <f t="shared" si="62"/>
        <v>2.603339073243772</v>
      </c>
      <c r="N215" s="198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0.3461566970834758</v>
      </c>
      <c r="H216" s="48">
        <f t="shared" ref="H216:K216" si="63">H206*H209</f>
        <v>0.47074592307576252</v>
      </c>
      <c r="I216" s="48">
        <f t="shared" si="63"/>
        <v>0.57776044729053744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8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5.9860054600030432</v>
      </c>
      <c r="H217" s="48">
        <f t="shared" ref="H217:K217" si="65">H207*H208</f>
        <v>5.9864255732489928</v>
      </c>
      <c r="I217" s="48">
        <f t="shared" si="65"/>
        <v>5.9876863281071255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8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6.1014756033855271</v>
      </c>
      <c r="H218" s="48">
        <f t="shared" ref="H218:K218" si="67">H207*H209</f>
        <v>6.0260438843236335</v>
      </c>
      <c r="I218" s="48">
        <f t="shared" si="67"/>
        <v>6.0403381755555499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8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6.6382192282541146</v>
      </c>
      <c r="H219" s="48">
        <f t="shared" ref="H219:K219" si="69">H208*H209</f>
        <v>6.5556917249372324</v>
      </c>
      <c r="I219" s="48">
        <f t="shared" si="69"/>
        <v>6.5698587589085626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8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-1.9959123013972808</v>
      </c>
      <c r="H220" s="48">
        <f t="shared" ref="H220:K220" si="71">LN(H156/H198)</f>
        <v>-1.9959123013972808</v>
      </c>
      <c r="I220" s="48">
        <f t="shared" si="71"/>
        <v>-1.9959123013972808</v>
      </c>
      <c r="J220" s="48">
        <f t="shared" si="71"/>
        <v>-2.0565369232137156</v>
      </c>
      <c r="K220" s="48">
        <f t="shared" si="71"/>
        <v>-2.113695337053664</v>
      </c>
      <c r="L220" s="48">
        <f t="shared" ref="L220:M220" si="72">LN(L156/L198)</f>
        <v>-2.1708537508936128</v>
      </c>
      <c r="M220" s="48">
        <f t="shared" si="72"/>
        <v>-2.2280121647335616</v>
      </c>
      <c r="N220" s="198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-0.15923223482316196</v>
      </c>
      <c r="H221" s="31">
        <f t="shared" ref="H221:K221" si="73">H157/H199</f>
        <v>-7.731687624610116E-2</v>
      </c>
      <c r="I221" s="31">
        <f t="shared" si="73"/>
        <v>-5.2162637505801711E-2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8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12.831090199996751</v>
      </c>
      <c r="H226" s="50">
        <f t="shared" ref="H226:K241" si="78">H162*H205</f>
        <v>12.831090199996751</v>
      </c>
      <c r="I226" s="50">
        <f t="shared" si="78"/>
        <v>12.831090199996751</v>
      </c>
      <c r="J226" s="50">
        <f t="shared" si="78"/>
        <v>12.831090199996751</v>
      </c>
      <c r="K226" s="50">
        <f t="shared" si="78"/>
        <v>12.831090199996751</v>
      </c>
      <c r="L226" s="50">
        <f t="shared" ref="L226:M226" si="79">L162*L205</f>
        <v>12.831090199996751</v>
      </c>
      <c r="M226" s="50">
        <f t="shared" si="79"/>
        <v>12.831090199996751</v>
      </c>
      <c r="N226" s="199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-8.3412713988655823E-2</v>
      </c>
      <c r="H227" s="50">
        <f t="shared" si="78"/>
        <v>-0.11486273392990759</v>
      </c>
      <c r="I227" s="50">
        <f t="shared" si="78"/>
        <v>-0.14067045069784084</v>
      </c>
      <c r="J227" s="50">
        <f t="shared" si="78"/>
        <v>-0.6394226570934517</v>
      </c>
      <c r="K227" s="50">
        <f t="shared" si="78"/>
        <v>-0.6394226570934517</v>
      </c>
      <c r="L227" s="50">
        <f t="shared" ref="L227:M227" si="80">L163*L206</f>
        <v>-0.6394226570934517</v>
      </c>
      <c r="M227" s="50">
        <f t="shared" si="80"/>
        <v>-0.6394226570934517</v>
      </c>
      <c r="N227" s="199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-0.99635178990764151</v>
      </c>
      <c r="H228" s="50">
        <f t="shared" si="78"/>
        <v>-0.99642171643667043</v>
      </c>
      <c r="I228" s="50">
        <f t="shared" si="78"/>
        <v>-0.99663156511922313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9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-0.37710090720578793</v>
      </c>
      <c r="H229" s="50">
        <f t="shared" si="78"/>
        <v>-0.37710090720578793</v>
      </c>
      <c r="I229" s="50">
        <f t="shared" si="78"/>
        <v>-0.37710090720578793</v>
      </c>
      <c r="J229" s="50">
        <f t="shared" si="78"/>
        <v>-0.37710090720578793</v>
      </c>
      <c r="K229" s="50">
        <f t="shared" si="78"/>
        <v>-0.37710090720578793</v>
      </c>
      <c r="L229" s="50">
        <f t="shared" ref="L229:M229" si="82">L165*L208</f>
        <v>-0.37710090720578793</v>
      </c>
      <c r="M229" s="50">
        <f t="shared" si="82"/>
        <v>-0.37710090720578793</v>
      </c>
      <c r="N229" s="199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-0.30169332826906781</v>
      </c>
      <c r="H230" s="50">
        <f t="shared" si="78"/>
        <v>-0.29794262400738358</v>
      </c>
      <c r="I230" s="50">
        <f t="shared" si="78"/>
        <v>-0.29858648638727003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9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9.8434052592121977E-4</v>
      </c>
      <c r="H231" s="50">
        <f t="shared" si="78"/>
        <v>1.8665479870619819E-3</v>
      </c>
      <c r="I231" s="50">
        <f t="shared" si="78"/>
        <v>2.7995396283854446E-3</v>
      </c>
      <c r="J231" s="50">
        <f t="shared" si="78"/>
        <v>5.7843811656007528E-2</v>
      </c>
      <c r="K231" s="50">
        <f t="shared" si="78"/>
        <v>5.7843811656007528E-2</v>
      </c>
      <c r="L231" s="50">
        <f t="shared" ref="L231:M231" si="84">L167*L210</f>
        <v>5.7843811656007528E-2</v>
      </c>
      <c r="M231" s="50">
        <f t="shared" si="84"/>
        <v>5.7843811656007528E-2</v>
      </c>
      <c r="N231" s="199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-1.4258314091276794</v>
      </c>
      <c r="H232" s="50">
        <f t="shared" si="78"/>
        <v>-1.4260315531754995</v>
      </c>
      <c r="I232" s="50">
        <f t="shared" si="78"/>
        <v>-1.4266322674097043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9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0.54249711138546908</v>
      </c>
      <c r="H233" s="50">
        <f t="shared" si="78"/>
        <v>0.54249711138546908</v>
      </c>
      <c r="I233" s="50">
        <f t="shared" si="78"/>
        <v>0.54249711138546908</v>
      </c>
      <c r="J233" s="50">
        <f t="shared" si="78"/>
        <v>0.54249711138546908</v>
      </c>
      <c r="K233" s="50">
        <f t="shared" si="78"/>
        <v>0.54249711138546908</v>
      </c>
      <c r="L233" s="50">
        <f t="shared" ref="L233:M233" si="86">L169*L212</f>
        <v>0.54249711138546908</v>
      </c>
      <c r="M233" s="50">
        <f t="shared" si="86"/>
        <v>0.54249711138546908</v>
      </c>
      <c r="N233" s="199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0.60292731887048456</v>
      </c>
      <c r="H234" s="50">
        <f t="shared" si="78"/>
        <v>0.58802911078526587</v>
      </c>
      <c r="I234" s="50">
        <f t="shared" si="78"/>
        <v>0.59057335175922243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9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1.6978472992024343E-2</v>
      </c>
      <c r="H235" s="50">
        <f t="shared" si="78"/>
        <v>2.3381695693279341E-2</v>
      </c>
      <c r="I235" s="50">
        <f t="shared" si="78"/>
        <v>2.8641198529107799E-2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9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2.1969264252021674E-3</v>
      </c>
      <c r="H236" s="50">
        <f t="shared" si="78"/>
        <v>3.0252579418036762E-3</v>
      </c>
      <c r="I236" s="50">
        <f t="shared" si="78"/>
        <v>3.7049823175063609E-3</v>
      </c>
      <c r="J236" s="50">
        <f t="shared" si="78"/>
        <v>1.6841132065702084E-2</v>
      </c>
      <c r="K236" s="50">
        <f t="shared" si="78"/>
        <v>1.6841132065702084E-2</v>
      </c>
      <c r="L236" s="50">
        <f t="shared" ref="L236:M236" si="89">L172*L215</f>
        <v>1.6841132065702084E-2</v>
      </c>
      <c r="M236" s="50">
        <f t="shared" si="89"/>
        <v>1.6841132065702084E-2</v>
      </c>
      <c r="N236" s="199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-5.0601780942432539E-5</v>
      </c>
      <c r="H237" s="50">
        <f t="shared" si="78"/>
        <v>-6.8814448137857615E-5</v>
      </c>
      <c r="I237" s="50">
        <f t="shared" si="78"/>
        <v>-8.4458015220625402E-5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9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1.3926124742892614</v>
      </c>
      <c r="H238" s="50">
        <f t="shared" si="78"/>
        <v>1.392710211411426</v>
      </c>
      <c r="I238" s="50">
        <f t="shared" si="78"/>
        <v>1.3930035193534567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9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0.66330363997882191</v>
      </c>
      <c r="H239" s="50">
        <f t="shared" si="78"/>
        <v>0.65510330663718708</v>
      </c>
      <c r="I239" s="50">
        <f t="shared" si="78"/>
        <v>0.65665726768224753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9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-1.690977315101363</v>
      </c>
      <c r="H240" s="50">
        <f t="shared" si="78"/>
        <v>-1.6699547891524116</v>
      </c>
      <c r="I240" s="50">
        <f t="shared" si="78"/>
        <v>-1.6735636083619105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9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-0.61486776733400983</v>
      </c>
      <c r="H241" s="50">
        <f t="shared" si="78"/>
        <v>-0.61486776733400983</v>
      </c>
      <c r="I241" s="50">
        <f t="shared" si="78"/>
        <v>-0.61486776733400983</v>
      </c>
      <c r="J241" s="50">
        <f t="shared" si="78"/>
        <v>-0.63354400167338631</v>
      </c>
      <c r="K241" s="50">
        <f t="shared" si="78"/>
        <v>-0.65115242378567983</v>
      </c>
      <c r="L241" s="50">
        <f t="shared" ref="L241:M241" si="94">L177*L220</f>
        <v>-0.66876084589797336</v>
      </c>
      <c r="M241" s="50">
        <f t="shared" si="94"/>
        <v>-0.68636926801026699</v>
      </c>
      <c r="N241" s="199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-2.1317382172435675E-3</v>
      </c>
      <c r="H242" s="50">
        <f t="shared" ref="H242:K243" si="95">H178*H221</f>
        <v>-1.0350877767604538E-3</v>
      </c>
      <c r="I242" s="50">
        <f t="shared" si="95"/>
        <v>-6.9833277167045981E-4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9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0.15871848125317303</v>
      </c>
      <c r="H243" s="50">
        <f t="shared" si="95"/>
        <v>0.17635386805908115</v>
      </c>
      <c r="I243" s="50">
        <f t="shared" si="95"/>
        <v>0.19398925486498925</v>
      </c>
      <c r="J243" s="50">
        <f t="shared" si="95"/>
        <v>0.21162464167089737</v>
      </c>
      <c r="K243" s="50">
        <f t="shared" si="95"/>
        <v>0.22926002847680549</v>
      </c>
      <c r="L243" s="50">
        <f t="shared" ref="L243:M243" si="97">L179*L222</f>
        <v>0.24689541528271358</v>
      </c>
      <c r="M243" s="50">
        <f t="shared" si="97"/>
        <v>0.26453080208862173</v>
      </c>
      <c r="N243" s="199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10.718891394784716</v>
      </c>
      <c r="H245" s="44">
        <f t="shared" ref="H245:K245" si="98">SUM(H226:H243)</f>
        <v>10.715771316430757</v>
      </c>
      <c r="I245" s="44">
        <f t="shared" si="98"/>
        <v>10.714120582214498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5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45201.764143616718</v>
      </c>
      <c r="H246" s="8">
        <f t="shared" ref="H246:K246" si="100">EXP(H245)</f>
        <v>45060.950886183135</v>
      </c>
      <c r="I246" s="8">
        <f t="shared" si="100"/>
        <v>44986.628592791385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124.57550597437343</v>
      </c>
      <c r="H247" s="21">
        <f t="shared" ref="H247:K247" si="102">H137</f>
        <v>127.43201532585269</v>
      </c>
      <c r="I247" s="21">
        <f t="shared" si="102"/>
        <v>130.35402427623998</v>
      </c>
      <c r="J247" s="21">
        <f t="shared" si="102"/>
        <v>130.35402427623998</v>
      </c>
      <c r="K247" s="21">
        <f t="shared" si="102"/>
        <v>130.35402427623998</v>
      </c>
      <c r="L247" s="21">
        <f t="shared" ref="L247:M247" si="103">L137</f>
        <v>130.35402427623998</v>
      </c>
      <c r="M247" s="21">
        <f t="shared" si="103"/>
        <v>130.35402427623998</v>
      </c>
      <c r="N247" s="190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5631032.6391253434</v>
      </c>
      <c r="H248" s="8">
        <f t="shared" ref="H248:K248" si="104">H246*H247</f>
        <v>5742207.7839255845</v>
      </c>
      <c r="I248" s="8">
        <f t="shared" si="104"/>
        <v>5864188.0756909195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7" t="s">
        <v>151</v>
      </c>
      <c r="B253" s="227"/>
      <c r="C253" s="227"/>
      <c r="D253" s="227"/>
      <c r="E253" s="227"/>
      <c r="F253" s="227"/>
      <c r="G253" s="227"/>
      <c r="H253" s="227"/>
      <c r="I253" s="227"/>
      <c r="J253" s="227"/>
      <c r="K253" s="227"/>
      <c r="L253" s="227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3690658.8228852497</v>
      </c>
      <c r="H256" s="60">
        <f t="shared" ref="H256:K256" si="107">H121</f>
        <v>3938698.4757975321</v>
      </c>
      <c r="I256" s="60">
        <f t="shared" si="107"/>
        <v>4116845.1338837892</v>
      </c>
      <c r="J256" s="60">
        <f t="shared" si="107"/>
        <v>597856.07416530792</v>
      </c>
      <c r="K256" s="60">
        <f t="shared" si="107"/>
        <v>570414.48036112031</v>
      </c>
      <c r="L256" s="60">
        <f t="shared" ref="L256:M256" si="108">L121</f>
        <v>544232.45571254485</v>
      </c>
      <c r="M256" s="60">
        <f t="shared" si="108"/>
        <v>519252.18599533912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5631032.6391253434</v>
      </c>
      <c r="H257" s="60">
        <f t="shared" ref="H257:K257" si="110">H248</f>
        <v>5742207.7839255845</v>
      </c>
      <c r="I257" s="60">
        <f>I248</f>
        <v>5864188.0756909195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-1940373.8162400937</v>
      </c>
      <c r="H258" s="25">
        <f t="shared" ref="H258:K258" si="113">H256-H257</f>
        <v>-1803509.3081280524</v>
      </c>
      <c r="I258" s="25">
        <f t="shared" si="113"/>
        <v>-1747342.9418071304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1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-0.34458578747316371</v>
      </c>
      <c r="H259" s="61">
        <f>H258/H257</f>
        <v>-0.31407942310563813</v>
      </c>
      <c r="I259" s="61">
        <f t="shared" ref="I259:K259" si="116">I258/I257</f>
        <v>-0.29796843471826373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-0.42248785768120484</v>
      </c>
      <c r="H261" s="64">
        <f>LN(H256/H257)</f>
        <v>-0.37699343508086169</v>
      </c>
      <c r="I261" s="64">
        <f t="shared" ref="I261:K261" si="118">LN(I256/I257)</f>
        <v>-0.35377691117841364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3">
        <v>0.70603191069711846</v>
      </c>
      <c r="R261" s="183">
        <v>9.7302851273268903E-2</v>
      </c>
      <c r="S261" s="183">
        <v>7.9116818658470298E-3</v>
      </c>
      <c r="T261" s="183">
        <v>-0.13566026656147193</v>
      </c>
      <c r="U261" s="183">
        <v>-6.0531179294817661E-2</v>
      </c>
      <c r="V261" s="183">
        <v>-0.10273580479940848</v>
      </c>
      <c r="W261" s="183">
        <v>-3.6171762355483722E-2</v>
      </c>
      <c r="X261" s="183">
        <v>0.12954887332885678</v>
      </c>
      <c r="Y261" s="183">
        <v>-1.178839990354383E-2</v>
      </c>
      <c r="Z261" s="183">
        <v>0.23878141255250601</v>
      </c>
      <c r="AA261" s="183">
        <v>-0.14187073129993855</v>
      </c>
      <c r="AB261" s="183">
        <v>-0.33248359794952609</v>
      </c>
      <c r="AC261" s="183">
        <v>-0.34709538811768975</v>
      </c>
      <c r="AD261" s="183">
        <v>-8.2235750663606749E-2</v>
      </c>
      <c r="AE261" s="183">
        <v>-0.17338453941922083</v>
      </c>
      <c r="AF261" s="183">
        <v>9.9081698234558827E-2</v>
      </c>
      <c r="AG261" s="183">
        <v>7.0076968960318273E-2</v>
      </c>
      <c r="AH261" s="183">
        <v>-0.20361196118985733</v>
      </c>
      <c r="AI261" s="183">
        <v>-0.13480116485236857</v>
      </c>
      <c r="AJ261" s="183">
        <v>0.13983043346236282</v>
      </c>
      <c r="AK261" s="183">
        <v>5.1052990879939683E-2</v>
      </c>
      <c r="AL261" s="183">
        <v>8.012318813172821E-2</v>
      </c>
      <c r="AM261" s="183">
        <v>-0.16981590559649995</v>
      </c>
      <c r="AN261" s="183">
        <v>-3.7508067196586295E-2</v>
      </c>
      <c r="AO261" s="183">
        <v>-0.21390807364979811</v>
      </c>
      <c r="AP261" s="183">
        <v>-0.28160334207753757</v>
      </c>
      <c r="AQ261" s="183">
        <v>-7.4283903775821045E-2</v>
      </c>
      <c r="AR261" s="183">
        <v>-2.0728495983574402E-2</v>
      </c>
      <c r="AS261" s="183">
        <v>-6.1766129420147635E-2</v>
      </c>
      <c r="AT261" s="183">
        <v>-0.68104304591369058</v>
      </c>
      <c r="AU261" s="183">
        <v>-2.9109769391623443E-2</v>
      </c>
      <c r="AV261" s="183">
        <v>0.20347584733324961</v>
      </c>
      <c r="AW261" s="183">
        <v>0.15249207969423123</v>
      </c>
      <c r="AX261" s="183">
        <v>8.5332278337988773E-2</v>
      </c>
      <c r="AY261" s="183">
        <v>-3.8703118930454125E-2</v>
      </c>
      <c r="AZ261" s="183">
        <v>-3.1235094258237218E-2</v>
      </c>
      <c r="BA261" s="183">
        <v>-0.22347261724008805</v>
      </c>
      <c r="BB261" s="183">
        <v>-0.22059548171389978</v>
      </c>
      <c r="BC261" s="183">
        <v>-7.5826148872448346E-2</v>
      </c>
      <c r="BD261" s="183">
        <v>-9.9379610138709898E-2</v>
      </c>
      <c r="BE261" s="183">
        <v>0.13847971310394705</v>
      </c>
      <c r="BF261" s="183">
        <v>2.6932793990189417E-2</v>
      </c>
      <c r="BG261" s="183">
        <v>-0.19301495707109628</v>
      </c>
      <c r="BH261" s="183">
        <v>4.544285653579741E-2</v>
      </c>
      <c r="BI261" s="183">
        <v>-6.5883889446759644E-2</v>
      </c>
      <c r="BJ261" s="183">
        <v>6.9845361050938568E-2</v>
      </c>
      <c r="BK261" s="183">
        <v>-0.42248785768120484</v>
      </c>
      <c r="BL261" s="183">
        <v>6.8902247247756065E-2</v>
      </c>
      <c r="BM261" s="183">
        <v>-7.6480481158966551E-2</v>
      </c>
      <c r="BN261" s="183">
        <v>-7.9807448010616705E-2</v>
      </c>
      <c r="BO261" s="183">
        <v>-0.14945401007620784</v>
      </c>
      <c r="BP261" s="183">
        <v>-9.3384746134531446E-2</v>
      </c>
      <c r="BQ261" s="183">
        <v>0.11039920036442048</v>
      </c>
      <c r="BR261" s="183">
        <v>8.0906502290503404E-2</v>
      </c>
      <c r="BS261" s="183">
        <v>0.16164588870826915</v>
      </c>
      <c r="BT261" s="183">
        <v>0.10577263093813177</v>
      </c>
      <c r="BU261" s="183">
        <v>-4.7918446426578928E-2</v>
      </c>
      <c r="BV261" s="183">
        <v>-4.264729379385946E-2</v>
      </c>
      <c r="BW261" s="183">
        <v>-0.10279460260258678</v>
      </c>
      <c r="BX261" s="183">
        <v>8.6308655856581151E-2</v>
      </c>
      <c r="BY261" s="183">
        <v>-4.7652832167869672E-3</v>
      </c>
      <c r="BZ261" s="183">
        <v>0.51474627393933603</v>
      </c>
      <c r="CA261" s="183">
        <v>-2.6843472228933584E-2</v>
      </c>
      <c r="CB261" s="183">
        <v>-0.45550285863118628</v>
      </c>
      <c r="CC261" s="183">
        <v>8.1979682414906066E-2</v>
      </c>
      <c r="CD261" s="183">
        <v>-0.1865758992943703</v>
      </c>
      <c r="CE261" s="183">
        <v>0.1183000698598986</v>
      </c>
      <c r="CF261" s="183">
        <v>0.33475924181663491</v>
      </c>
      <c r="CG261" s="183">
        <v>-5.9947503055636536E-2</v>
      </c>
      <c r="CH261" s="183">
        <v>-2.6103213552321727E-2</v>
      </c>
      <c r="CI261" s="183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3">
        <v>0.70603191069711846</v>
      </c>
      <c r="R262" s="183">
        <v>9.7302851273268903E-2</v>
      </c>
      <c r="S262" s="183">
        <v>7.9116818658470298E-3</v>
      </c>
      <c r="T262" s="183">
        <v>-0.13566026656147193</v>
      </c>
      <c r="U262" s="183">
        <v>-6.0531179294817661E-2</v>
      </c>
      <c r="V262" s="183">
        <v>-0.10273580479940848</v>
      </c>
      <c r="W262" s="183">
        <v>-3.6171762355483722E-2</v>
      </c>
      <c r="X262" s="183">
        <v>0.12954887332885678</v>
      </c>
      <c r="Y262" s="183">
        <v>-1.178839990354383E-2</v>
      </c>
      <c r="Z262" s="183">
        <v>0.23878141255250601</v>
      </c>
      <c r="AA262" s="183">
        <v>-0.14187073129993855</v>
      </c>
      <c r="AB262" s="183">
        <v>-0.33248359794952609</v>
      </c>
      <c r="AC262" s="183">
        <v>-0.34709538811768975</v>
      </c>
      <c r="AD262" s="183">
        <v>-8.2235750663606749E-2</v>
      </c>
      <c r="AE262" s="183">
        <v>-0.17338453941922083</v>
      </c>
      <c r="AF262" s="183">
        <v>9.9081698234558827E-2</v>
      </c>
      <c r="AG262" s="183">
        <v>7.0076968960318273E-2</v>
      </c>
      <c r="AH262" s="183">
        <v>-0.20361196118985733</v>
      </c>
      <c r="AI262" s="183">
        <v>-0.13480116485236857</v>
      </c>
      <c r="AJ262" s="183">
        <v>0.13983043346236282</v>
      </c>
      <c r="AK262" s="183">
        <v>5.1052990879939683E-2</v>
      </c>
      <c r="AL262" s="183">
        <v>8.012318813172821E-2</v>
      </c>
      <c r="AM262" s="183">
        <v>-0.16981590559649995</v>
      </c>
      <c r="AN262" s="183">
        <v>-3.7508067196586295E-2</v>
      </c>
      <c r="AO262" s="183">
        <v>-0.21390807364979811</v>
      </c>
      <c r="AP262" s="183">
        <v>-0.28160334207753757</v>
      </c>
      <c r="AQ262" s="183">
        <v>-7.4283903775821045E-2</v>
      </c>
      <c r="AR262" s="183">
        <v>-2.0728495983574402E-2</v>
      </c>
      <c r="AS262" s="183">
        <v>-6.1766129420147635E-2</v>
      </c>
      <c r="AT262" s="183">
        <v>-0.68104304591369058</v>
      </c>
      <c r="AU262" s="183">
        <v>-2.9109769391623443E-2</v>
      </c>
      <c r="AV262" s="183">
        <v>0.20347584733324961</v>
      </c>
      <c r="AW262" s="183">
        <v>0.15249207969423123</v>
      </c>
      <c r="AX262" s="183">
        <v>8.5332278337988773E-2</v>
      </c>
      <c r="AY262" s="183">
        <v>-3.8703118930454125E-2</v>
      </c>
      <c r="AZ262" s="183">
        <v>-3.1235094258237218E-2</v>
      </c>
      <c r="BA262" s="183">
        <v>-0.22347261724008805</v>
      </c>
      <c r="BB262" s="183">
        <v>-0.22059548171389978</v>
      </c>
      <c r="BC262" s="183">
        <v>-7.5826148872448346E-2</v>
      </c>
      <c r="BD262" s="183">
        <v>-9.9379610138709898E-2</v>
      </c>
      <c r="BE262" s="183">
        <v>0.13847971310394705</v>
      </c>
      <c r="BF262" s="183">
        <v>2.6932793990189417E-2</v>
      </c>
      <c r="BG262" s="183">
        <v>-0.19301495707109628</v>
      </c>
      <c r="BH262" s="183">
        <v>4.544285653579741E-2</v>
      </c>
      <c r="BI262" s="183">
        <v>-6.5883889446759644E-2</v>
      </c>
      <c r="BJ262" s="183">
        <v>6.9845361050938568E-2</v>
      </c>
      <c r="BK262" s="183">
        <v>-0.42248785768120484</v>
      </c>
      <c r="BL262" s="183">
        <v>6.8902247247756065E-2</v>
      </c>
      <c r="BM262" s="183">
        <v>-7.6480481158966551E-2</v>
      </c>
      <c r="BN262" s="183">
        <v>-7.9807448010616705E-2</v>
      </c>
      <c r="BO262" s="183">
        <v>-0.14945401007620784</v>
      </c>
      <c r="BP262" s="183">
        <v>-9.3384746134531446E-2</v>
      </c>
      <c r="BQ262" s="183">
        <v>0.11039920036442048</v>
      </c>
      <c r="BR262" s="183">
        <v>8.0906502290503404E-2</v>
      </c>
      <c r="BS262" s="183">
        <v>0.16164588870826915</v>
      </c>
      <c r="BT262" s="183">
        <v>0.10577263093813177</v>
      </c>
      <c r="BU262" s="183">
        <v>-4.7918446426578928E-2</v>
      </c>
      <c r="BV262" s="183">
        <v>-4.264729379385946E-2</v>
      </c>
      <c r="BW262" s="183">
        <v>-0.10279460260258678</v>
      </c>
      <c r="BX262" s="183">
        <v>8.6308655856581151E-2</v>
      </c>
      <c r="BY262" s="183">
        <v>-4.7652832167869672E-3</v>
      </c>
      <c r="BZ262" s="183">
        <v>0.51474627393933603</v>
      </c>
      <c r="CA262" s="183">
        <v>-2.6843472228933584E-2</v>
      </c>
      <c r="CB262" s="183">
        <v>-0.45550285863118628</v>
      </c>
      <c r="CC262" s="183">
        <v>8.1979682414906066E-2</v>
      </c>
      <c r="CD262" s="183">
        <v>-0.1865758992943703</v>
      </c>
      <c r="CE262" s="183">
        <v>0.1183000698598986</v>
      </c>
      <c r="CF262" s="183">
        <v>0.33475924181663491</v>
      </c>
      <c r="CG262" s="183">
        <v>-5.9947503055636536E-2</v>
      </c>
      <c r="CH262" s="183">
        <v>-2.6103213552321727E-2</v>
      </c>
      <c r="CI262" s="183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3">
        <v>0</v>
      </c>
      <c r="R263" s="183">
        <v>0</v>
      </c>
      <c r="S263" s="183">
        <v>0</v>
      </c>
      <c r="T263" s="183">
        <v>0</v>
      </c>
      <c r="U263" s="183">
        <v>0</v>
      </c>
      <c r="V263" s="183">
        <v>0</v>
      </c>
      <c r="W263" s="183">
        <v>0</v>
      </c>
      <c r="X263" s="183">
        <v>0</v>
      </c>
      <c r="Y263" s="183">
        <v>0</v>
      </c>
      <c r="Z263" s="183">
        <v>0</v>
      </c>
      <c r="AA263" s="183">
        <v>0</v>
      </c>
      <c r="AB263" s="183">
        <v>0</v>
      </c>
      <c r="AC263" s="183">
        <v>0</v>
      </c>
      <c r="AD263" s="183">
        <v>0</v>
      </c>
      <c r="AE263" s="183">
        <v>0</v>
      </c>
      <c r="AF263" s="183">
        <v>0</v>
      </c>
      <c r="AG263" s="183">
        <v>0</v>
      </c>
      <c r="AH263" s="183">
        <v>0</v>
      </c>
      <c r="AI263" s="183">
        <v>0</v>
      </c>
      <c r="AJ263" s="183">
        <v>0</v>
      </c>
      <c r="AK263" s="183">
        <v>0</v>
      </c>
      <c r="AL263" s="183">
        <v>0</v>
      </c>
      <c r="AM263" s="183">
        <v>0</v>
      </c>
      <c r="AN263" s="183">
        <v>0</v>
      </c>
      <c r="AO263" s="183">
        <v>0</v>
      </c>
      <c r="AP263" s="183">
        <v>0</v>
      </c>
      <c r="AQ263" s="183">
        <v>0</v>
      </c>
      <c r="AR263" s="183">
        <v>0</v>
      </c>
      <c r="AS263" s="183">
        <v>0</v>
      </c>
      <c r="AT263" s="183">
        <v>0</v>
      </c>
      <c r="AU263" s="183">
        <v>0</v>
      </c>
      <c r="AV263" s="183">
        <v>0</v>
      </c>
      <c r="AW263" s="183">
        <v>0</v>
      </c>
      <c r="AX263" s="183">
        <v>0</v>
      </c>
      <c r="AY263" s="183">
        <v>0</v>
      </c>
      <c r="AZ263" s="183">
        <v>0</v>
      </c>
      <c r="BA263" s="183">
        <v>0</v>
      </c>
      <c r="BB263" s="183">
        <v>0</v>
      </c>
      <c r="BC263" s="183">
        <v>0</v>
      </c>
      <c r="BD263" s="183">
        <v>0</v>
      </c>
      <c r="BE263" s="183">
        <v>0</v>
      </c>
      <c r="BF263" s="183">
        <v>0</v>
      </c>
      <c r="BG263" s="183">
        <v>0</v>
      </c>
      <c r="BH263" s="183">
        <v>0</v>
      </c>
      <c r="BI263" s="183">
        <v>0</v>
      </c>
      <c r="BJ263" s="183">
        <v>0</v>
      </c>
      <c r="BK263" s="183">
        <v>0</v>
      </c>
      <c r="BL263" s="183">
        <v>0</v>
      </c>
      <c r="BM263" s="183">
        <v>0</v>
      </c>
      <c r="BN263" s="183">
        <v>0</v>
      </c>
      <c r="BO263" s="183">
        <v>0</v>
      </c>
      <c r="BP263" s="183">
        <v>0</v>
      </c>
      <c r="BQ263" s="183">
        <v>0</v>
      </c>
      <c r="BR263" s="183">
        <v>0</v>
      </c>
      <c r="BS263" s="183">
        <v>0</v>
      </c>
      <c r="BT263" s="183">
        <v>0</v>
      </c>
      <c r="BU263" s="183">
        <v>0</v>
      </c>
      <c r="BV263" s="183">
        <v>0</v>
      </c>
      <c r="BW263" s="183">
        <v>0</v>
      </c>
      <c r="BX263" s="183">
        <v>0</v>
      </c>
      <c r="BY263" s="183">
        <v>0</v>
      </c>
      <c r="BZ263" s="183">
        <v>0</v>
      </c>
      <c r="CA263" s="183">
        <v>0</v>
      </c>
      <c r="CB263" s="183">
        <v>0</v>
      </c>
      <c r="CC263" s="183">
        <v>0</v>
      </c>
      <c r="CD263" s="183">
        <v>0</v>
      </c>
      <c r="CE263" s="183">
        <v>0</v>
      </c>
      <c r="CF263" s="183">
        <v>0</v>
      </c>
      <c r="CG263" s="183">
        <v>0</v>
      </c>
      <c r="CH263" s="183">
        <v>0</v>
      </c>
      <c r="CI263" s="183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9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0866141732283472" right="0.70866141732283472" top="0.74803149606299213" bottom="0.74803149606299213" header="0.31496062992125984" footer="0.31496062992125984"/>
  <pageSetup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workbookViewId="0">
      <selection activeCell="F27" sqref="F27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3" t="s">
        <v>168</v>
      </c>
      <c r="D2" s="223"/>
      <c r="E2" s="223"/>
      <c r="F2" s="223"/>
      <c r="G2" s="223"/>
      <c r="H2" s="223"/>
      <c r="I2" s="223"/>
      <c r="J2" s="223"/>
      <c r="K2" s="223"/>
    </row>
    <row r="3" spans="3:17" s="92" customFormat="1" ht="23.25" customHeight="1" x14ac:dyDescent="0.25">
      <c r="C3" s="233" t="str">
        <f>'Model Inputs'!F5</f>
        <v>Northern Ontario Wires Inc.</v>
      </c>
      <c r="D3" s="233"/>
      <c r="E3" s="233"/>
      <c r="F3" s="233"/>
      <c r="G3" s="233"/>
      <c r="H3" s="233"/>
      <c r="I3" s="233"/>
      <c r="J3" s="233"/>
      <c r="K3" s="233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3690658.8228852497</v>
      </c>
      <c r="G10" s="86">
        <f>'Benchmarking Calculations'!H121</f>
        <v>3938698.4757975321</v>
      </c>
      <c r="H10" s="86">
        <f>'Benchmarking Calculations'!I121</f>
        <v>4116845.1338837892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5631032.6391253434</v>
      </c>
      <c r="G12" s="86">
        <f>'Benchmarking Calculations'!H257</f>
        <v>5742207.7839255845</v>
      </c>
      <c r="H12" s="86">
        <f>'Benchmarking Calculations'!I257</f>
        <v>5864188.0756909195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-1940373.8162400937</v>
      </c>
      <c r="G14" s="86">
        <f t="shared" si="0"/>
        <v>-1803509.3081280524</v>
      </c>
      <c r="H14" s="86">
        <f t="shared" si="0"/>
        <v>-1747342.9418071304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7">
        <f>LN(F10/F12)</f>
        <v>-0.42248785768120484</v>
      </c>
      <c r="G16" s="167">
        <f t="shared" ref="G16:H16" si="2">LN(G10/G12)</f>
        <v>-0.37699343508086169</v>
      </c>
      <c r="H16" s="167">
        <f t="shared" si="2"/>
        <v>-0.35377691117841364</v>
      </c>
      <c r="I16" s="148" t="str">
        <f>IF(ISNUMBER(I14),LN(I10/I12),"na")</f>
        <v>na</v>
      </c>
      <c r="J16" s="148" t="str">
        <f t="shared" ref="J16:K16" si="3">IF(ISNUMBER(J14),LN(J10/J12),"na")</f>
        <v>na</v>
      </c>
      <c r="K16" s="148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8"/>
      <c r="G17" s="168"/>
      <c r="H17" s="168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9"/>
      <c r="G18" s="169"/>
      <c r="H18" s="169">
        <f>AVERAGE(F16:H16)</f>
        <v>-0.38441940131349339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9">
        <f>IF(F16&lt;-0.25,1,IF(F16&lt;-0.1,2,IF(F16&lt;0.1,3,IF(F16&lt;0.25,4,5))))</f>
        <v>1</v>
      </c>
      <c r="G22" s="149">
        <f t="shared" ref="G22" si="5">IF(G16&lt;-0.25,1,IF(G16&lt;-0.1,2,IF(G16&lt;0.1,3,IF(G16&lt;0.25,4,5))))</f>
        <v>1</v>
      </c>
      <c r="H22" s="149">
        <f>IF($H$16&lt;-0.25,1,IF($H$16&lt;-0.1,2,IF($H$16&lt;0.1,3,IF($H$16&lt;0.25,4,5))))</f>
        <v>1</v>
      </c>
      <c r="I22" s="149" t="str">
        <f>IF(ISNUMBER(I16),IF(I16&lt;-0.25,1,IF(I16&lt;-0.1,2,IF(I16&lt;0.1,3,IF(I16&lt;0.25,4,5)))),"na")</f>
        <v>na</v>
      </c>
      <c r="J22" s="149" t="str">
        <f t="shared" ref="J22:K22" si="6">IF(ISNUMBER(J16),IF(J16&lt;-0.25,1,IF(J16&lt;-0.1,2,IF(J16&lt;0.1,3,IF(J16&lt;0.25,4,5)))),"na")</f>
        <v>na</v>
      </c>
      <c r="K22" s="149" t="str">
        <f t="shared" si="6"/>
        <v>na</v>
      </c>
    </row>
    <row r="24" spans="4:15" ht="15" x14ac:dyDescent="0.25">
      <c r="E24" t="s">
        <v>155</v>
      </c>
      <c r="H24" s="149">
        <f>IF($H$18&lt;-0.25,1,IF($H$18&lt;-0.1,2,IF($H$18&lt;0.1,3,IF($H$18&lt;0.25,4,5))))</f>
        <v>1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Geoffrey Sutton</cp:lastModifiedBy>
  <cp:lastPrinted>2016-09-29T15:24:51Z</cp:lastPrinted>
  <dcterms:created xsi:type="dcterms:W3CDTF">2016-07-20T15:58:10Z</dcterms:created>
  <dcterms:modified xsi:type="dcterms:W3CDTF">2017-03-02T22:21:40Z</dcterms:modified>
</cp:coreProperties>
</file>