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21" i="1" l="1"/>
  <c r="Y7" i="1"/>
  <c r="Y8" i="1"/>
  <c r="Y9" i="1"/>
  <c r="Y10" i="1"/>
  <c r="Y11" i="1"/>
  <c r="Y12" i="1"/>
  <c r="Y13" i="1"/>
  <c r="Y14" i="1"/>
  <c r="Y15" i="1"/>
  <c r="Y16" i="1"/>
  <c r="Y17" i="1"/>
  <c r="Y18" i="1"/>
  <c r="Y33" i="1" l="1"/>
  <c r="AA24" i="1" l="1"/>
  <c r="AA23" i="1"/>
  <c r="AA22" i="1"/>
  <c r="AA21" i="1"/>
  <c r="Y24" i="1"/>
  <c r="Y23" i="1"/>
  <c r="Y22" i="1"/>
  <c r="G19" i="1" l="1"/>
  <c r="G7" i="1"/>
  <c r="AA19" i="1"/>
  <c r="AA7" i="1"/>
  <c r="AA8" i="1"/>
  <c r="AA10" i="1"/>
  <c r="AA12" i="1"/>
  <c r="AA13" i="1"/>
  <c r="AA14" i="1"/>
  <c r="AA15" i="1"/>
  <c r="AA16" i="1"/>
  <c r="AA17" i="1"/>
  <c r="AA6" i="1"/>
  <c r="Y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X8" i="1"/>
  <c r="X7" i="1"/>
  <c r="Z6" i="1"/>
  <c r="X6" i="1"/>
  <c r="D24" i="1"/>
  <c r="D23" i="1"/>
  <c r="D22" i="1"/>
  <c r="C19" i="1"/>
  <c r="D21" i="1"/>
  <c r="F19" i="1"/>
  <c r="G22" i="1"/>
  <c r="G23" i="1"/>
  <c r="G24" i="1"/>
  <c r="D27" i="1" l="1"/>
  <c r="D19" i="1"/>
  <c r="G21" i="1"/>
  <c r="J21" i="1"/>
  <c r="X13" i="1"/>
  <c r="X14" i="1"/>
  <c r="X15" i="1"/>
  <c r="X16" i="1"/>
  <c r="X17" i="1"/>
  <c r="V23" i="1"/>
  <c r="V22" i="1"/>
  <c r="S23" i="1"/>
  <c r="S22" i="1"/>
  <c r="P22" i="1"/>
  <c r="P23" i="1"/>
  <c r="M23" i="1"/>
  <c r="M22" i="1"/>
  <c r="M21" i="1"/>
  <c r="X9" i="1"/>
  <c r="X10" i="1"/>
  <c r="X11" i="1"/>
  <c r="X12" i="1"/>
  <c r="J23" i="1"/>
  <c r="J22" i="1"/>
  <c r="G27" i="1" l="1"/>
  <c r="AA27" i="1"/>
  <c r="Y19" i="1"/>
  <c r="M27" i="1"/>
  <c r="V24" i="1"/>
  <c r="S24" i="1"/>
  <c r="P24" i="1"/>
  <c r="M24" i="1"/>
  <c r="J24" i="1"/>
  <c r="V21" i="1"/>
  <c r="S21" i="1"/>
  <c r="P21" i="1"/>
  <c r="V27" i="1" l="1"/>
  <c r="S27" i="1"/>
  <c r="P27" i="1"/>
  <c r="J27" i="1"/>
  <c r="X19" i="1"/>
  <c r="V19" i="1"/>
  <c r="U19" i="1"/>
  <c r="S19" i="1"/>
  <c r="R19" i="1"/>
  <c r="P19" i="1"/>
  <c r="O19" i="1"/>
  <c r="M19" i="1"/>
  <c r="L19" i="1"/>
  <c r="J19" i="1"/>
  <c r="I19" i="1"/>
  <c r="Y27" i="1" l="1"/>
  <c r="Y28" i="1" s="1"/>
</calcChain>
</file>

<file path=xl/sharedStrings.xml><?xml version="1.0" encoding="utf-8"?>
<sst xmlns="http://schemas.openxmlformats.org/spreadsheetml/2006/main" count="147" uniqueCount="41">
  <si>
    <t>Heating and Cooling</t>
  </si>
  <si>
    <t>Coupon</t>
  </si>
  <si>
    <t>Audit Funding</t>
  </si>
  <si>
    <t>Block Heater Timer</t>
  </si>
  <si>
    <t>Program</t>
  </si>
  <si>
    <t>Aniticipated Annual Budget ($)</t>
  </si>
  <si>
    <t>Energy Savings (MWh)</t>
  </si>
  <si>
    <t>TBH Retrofit</t>
  </si>
  <si>
    <t>Home Assistance Program</t>
  </si>
  <si>
    <t>TOTAL</t>
  </si>
  <si>
    <t>Rate Class</t>
  </si>
  <si>
    <t>GU/GS</t>
  </si>
  <si>
    <t>RES</t>
  </si>
  <si>
    <t>GU/GS/STL</t>
  </si>
  <si>
    <t>M</t>
  </si>
  <si>
    <t>Total Plan Budget ($)</t>
  </si>
  <si>
    <t>Total Persisting Energy Savings in 2020 (MWh)</t>
  </si>
  <si>
    <t>Residential</t>
  </si>
  <si>
    <t>GU</t>
  </si>
  <si>
    <t>GS</t>
  </si>
  <si>
    <t xml:space="preserve">M </t>
  </si>
  <si>
    <t>STL</t>
  </si>
  <si>
    <t>PSUI</t>
  </si>
  <si>
    <t>High Performance New Construction</t>
  </si>
  <si>
    <t>Social Benchmarking</t>
  </si>
  <si>
    <t>Energy Manager</t>
  </si>
  <si>
    <t>Non Residential</t>
  </si>
  <si>
    <t>2011-2014 Residential</t>
  </si>
  <si>
    <t>CDM 2015-2020 Plan by Rate Class</t>
  </si>
  <si>
    <t>Appliance Retirement</t>
  </si>
  <si>
    <t>FFPC Unassigned Target</t>
  </si>
  <si>
    <t>Small Business Lighting</t>
  </si>
  <si>
    <t>2015 Actual (IESO Q4 Unverified)</t>
  </si>
  <si>
    <t>2015 (Plan)</t>
  </si>
  <si>
    <t>Total 2015-2020 (Actual 2015 + Plan)</t>
  </si>
  <si>
    <t>Total 2015-2020 (Plan 2015-2020)</t>
  </si>
  <si>
    <t>PSUI expected to increase kWh savings as per direction from IESO</t>
  </si>
  <si>
    <t>Total of Annual Energy Savings</t>
  </si>
  <si>
    <t xml:space="preserve">Cost of Service </t>
  </si>
  <si>
    <t>Thunder Bay Hydro CDM 2015-2020 Target</t>
  </si>
  <si>
    <t>48.42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</si>
</sst>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000"/>
    <numFmt numFmtId="166" formatCode="[$-409]mmmm\ d\,\ yyyy;@"/>
    <numFmt numFmtId="167" formatCode="0.0"/>
    <numFmt numFmtId="168" formatCode="#,##0.0"/>
    <numFmt numFmtId="169" formatCode="_-* #,##0.0_-;\-* #,##0.0_-;_-* &quot;-&quot;??_-;_-@_-"/>
    <numFmt numFmtId="170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3" fontId="0" fillId="0" borderId="1" xfId="0" applyNumberFormat="1" applyBorder="1"/>
    <xf numFmtId="3" fontId="0" fillId="0" borderId="1" xfId="0" applyNumberFormat="1" applyBorder="1" applyAlignment="1">
      <alignment vertical="top" wrapText="1"/>
    </xf>
    <xf numFmtId="165" fontId="0" fillId="0" borderId="0" xfId="0" applyNumberFormat="1"/>
    <xf numFmtId="0" fontId="2" fillId="0" borderId="8" xfId="0" applyFont="1" applyBorder="1"/>
    <xf numFmtId="0" fontId="2" fillId="0" borderId="9" xfId="0" applyFont="1" applyBorder="1"/>
    <xf numFmtId="49" fontId="0" fillId="0" borderId="0" xfId="0" applyNumberFormat="1" applyFont="1" applyFill="1"/>
    <xf numFmtId="0" fontId="0" fillId="0" borderId="18" xfId="0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3" fontId="0" fillId="0" borderId="24" xfId="0" applyNumberFormat="1" applyBorder="1"/>
    <xf numFmtId="0" fontId="2" fillId="3" borderId="28" xfId="0" applyFont="1" applyFill="1" applyBorder="1"/>
    <xf numFmtId="0" fontId="2" fillId="3" borderId="28" xfId="0" applyFont="1" applyFill="1" applyBorder="1" applyAlignment="1">
      <alignment vertical="top" wrapText="1"/>
    </xf>
    <xf numFmtId="0" fontId="2" fillId="2" borderId="16" xfId="0" applyFont="1" applyFill="1" applyBorder="1"/>
    <xf numFmtId="0" fontId="0" fillId="3" borderId="28" xfId="0" applyFill="1" applyBorder="1"/>
    <xf numFmtId="0" fontId="0" fillId="3" borderId="29" xfId="0" applyFill="1" applyBorder="1"/>
    <xf numFmtId="0" fontId="2" fillId="3" borderId="29" xfId="0" applyFont="1" applyFill="1" applyBorder="1"/>
    <xf numFmtId="3" fontId="0" fillId="0" borderId="22" xfId="0" applyNumberFormat="1" applyBorder="1"/>
    <xf numFmtId="0" fontId="0" fillId="0" borderId="10" xfId="0" applyBorder="1"/>
    <xf numFmtId="0" fontId="0" fillId="0" borderId="23" xfId="0" applyBorder="1" applyAlignment="1">
      <alignment horizontal="center"/>
    </xf>
    <xf numFmtId="0" fontId="0" fillId="3" borderId="28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8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0" fillId="0" borderId="18" xfId="0" applyNumberFormat="1" applyBorder="1" applyAlignment="1">
      <alignment horizontal="center" vertical="top" wrapText="1"/>
    </xf>
    <xf numFmtId="0" fontId="0" fillId="0" borderId="26" xfId="0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4" fontId="0" fillId="0" borderId="0" xfId="2" applyFont="1"/>
    <xf numFmtId="44" fontId="2" fillId="2" borderId="19" xfId="2" applyFont="1" applyFill="1" applyBorder="1" applyAlignment="1">
      <alignment horizontal="center"/>
    </xf>
    <xf numFmtId="44" fontId="2" fillId="3" borderId="24" xfId="2" applyFont="1" applyFill="1" applyBorder="1" applyAlignment="1">
      <alignment horizontal="left" vertical="top" wrapText="1"/>
    </xf>
    <xf numFmtId="44" fontId="0" fillId="0" borderId="22" xfId="2" applyFont="1" applyBorder="1"/>
    <xf numFmtId="44" fontId="0" fillId="0" borderId="17" xfId="2" applyFont="1" applyBorder="1"/>
    <xf numFmtId="44" fontId="0" fillId="0" borderId="17" xfId="2" applyFont="1" applyBorder="1" applyAlignment="1">
      <alignment vertical="top"/>
    </xf>
    <xf numFmtId="44" fontId="0" fillId="0" borderId="17" xfId="2" applyFont="1" applyBorder="1" applyAlignment="1">
      <alignment vertical="top" wrapText="1"/>
    </xf>
    <xf numFmtId="44" fontId="0" fillId="0" borderId="24" xfId="2" applyFont="1" applyBorder="1"/>
    <xf numFmtId="44" fontId="0" fillId="0" borderId="5" xfId="2" applyFont="1" applyBorder="1"/>
    <xf numFmtId="44" fontId="0" fillId="0" borderId="12" xfId="2" applyFont="1" applyBorder="1"/>
    <xf numFmtId="44" fontId="0" fillId="0" borderId="2" xfId="2" applyFont="1" applyBorder="1"/>
    <xf numFmtId="17" fontId="0" fillId="0" borderId="0" xfId="0" applyNumberFormat="1"/>
    <xf numFmtId="166" fontId="0" fillId="0" borderId="0" xfId="0" applyNumberFormat="1" applyAlignment="1">
      <alignment horizontal="left"/>
    </xf>
    <xf numFmtId="0" fontId="0" fillId="3" borderId="33" xfId="0" applyFill="1" applyBorder="1"/>
    <xf numFmtId="0" fontId="2" fillId="3" borderId="33" xfId="0" applyFont="1" applyFill="1" applyBorder="1"/>
    <xf numFmtId="44" fontId="0" fillId="0" borderId="34" xfId="2" applyFont="1" applyBorder="1"/>
    <xf numFmtId="3" fontId="0" fillId="0" borderId="35" xfId="0" applyNumberFormat="1" applyBorder="1" applyAlignment="1">
      <alignment horizontal="center"/>
    </xf>
    <xf numFmtId="0" fontId="0" fillId="0" borderId="9" xfId="0" applyBorder="1"/>
    <xf numFmtId="0" fontId="0" fillId="0" borderId="34" xfId="0" applyBorder="1"/>
    <xf numFmtId="167" fontId="0" fillId="0" borderId="10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 wrapText="1"/>
    </xf>
    <xf numFmtId="168" fontId="0" fillId="0" borderId="4" xfId="0" applyNumberFormat="1" applyBorder="1"/>
    <xf numFmtId="168" fontId="0" fillId="0" borderId="6" xfId="0" applyNumberFormat="1" applyBorder="1"/>
    <xf numFmtId="168" fontId="0" fillId="0" borderId="7" xfId="0" applyNumberFormat="1" applyBorder="1" applyAlignment="1">
      <alignment horizontal="center"/>
    </xf>
    <xf numFmtId="168" fontId="0" fillId="0" borderId="5" xfId="2" applyNumberFormat="1" applyFont="1" applyBorder="1"/>
    <xf numFmtId="168" fontId="0" fillId="0" borderId="6" xfId="0" applyNumberFormat="1" applyBorder="1" applyAlignment="1">
      <alignment horizontal="center"/>
    </xf>
    <xf numFmtId="168" fontId="0" fillId="0" borderId="6" xfId="2" applyNumberFormat="1" applyFont="1" applyBorder="1"/>
    <xf numFmtId="168" fontId="0" fillId="0" borderId="19" xfId="0" applyNumberFormat="1" applyBorder="1"/>
    <xf numFmtId="168" fontId="0" fillId="0" borderId="0" xfId="0" applyNumberFormat="1" applyBorder="1"/>
    <xf numFmtId="168" fontId="0" fillId="0" borderId="13" xfId="0" applyNumberFormat="1" applyBorder="1" applyAlignment="1">
      <alignment horizontal="center"/>
    </xf>
    <xf numFmtId="168" fontId="0" fillId="0" borderId="12" xfId="2" applyNumberFormat="1" applyFont="1" applyBorder="1"/>
    <xf numFmtId="168" fontId="0" fillId="0" borderId="0" xfId="0" applyNumberFormat="1" applyBorder="1" applyAlignment="1">
      <alignment horizontal="center"/>
    </xf>
    <xf numFmtId="168" fontId="0" fillId="0" borderId="0" xfId="2" applyNumberFormat="1" applyFont="1" applyBorder="1"/>
    <xf numFmtId="168" fontId="0" fillId="0" borderId="30" xfId="0" applyNumberFormat="1" applyBorder="1"/>
    <xf numFmtId="168" fontId="0" fillId="0" borderId="31" xfId="0" applyNumberFormat="1" applyBorder="1"/>
    <xf numFmtId="168" fontId="0" fillId="0" borderId="11" xfId="0" applyNumberFormat="1" applyBorder="1"/>
    <xf numFmtId="168" fontId="0" fillId="0" borderId="14" xfId="2" applyNumberFormat="1" applyFont="1" applyBorder="1"/>
    <xf numFmtId="168" fontId="0" fillId="0" borderId="15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2" xfId="2" applyNumberFormat="1" applyFont="1" applyBorder="1"/>
    <xf numFmtId="168" fontId="0" fillId="0" borderId="4" xfId="0" applyNumberFormat="1" applyBorder="1" applyAlignment="1">
      <alignment horizontal="center"/>
    </xf>
    <xf numFmtId="168" fontId="0" fillId="0" borderId="4" xfId="2" applyNumberFormat="1" applyFont="1" applyBorder="1"/>
    <xf numFmtId="168" fontId="0" fillId="0" borderId="27" xfId="0" applyNumberFormat="1" applyBorder="1"/>
    <xf numFmtId="168" fontId="0" fillId="0" borderId="32" xfId="0" applyNumberFormat="1" applyBorder="1"/>
    <xf numFmtId="168" fontId="0" fillId="0" borderId="1" xfId="0" applyNumberFormat="1" applyBorder="1" applyAlignment="1">
      <alignment vertical="top" wrapText="1"/>
    </xf>
    <xf numFmtId="168" fontId="0" fillId="0" borderId="9" xfId="0" applyNumberFormat="1" applyBorder="1"/>
    <xf numFmtId="169" fontId="0" fillId="0" borderId="25" xfId="1" applyNumberFormat="1" applyFont="1" applyBorder="1"/>
    <xf numFmtId="43" fontId="0" fillId="0" borderId="25" xfId="1" applyFont="1" applyBorder="1"/>
    <xf numFmtId="44" fontId="0" fillId="0" borderId="0" xfId="2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2" fillId="0" borderId="0" xfId="0" applyFont="1" applyAlignment="1"/>
    <xf numFmtId="44" fontId="2" fillId="2" borderId="19" xfId="2" applyFont="1" applyFill="1" applyBorder="1" applyAlignment="1"/>
    <xf numFmtId="0" fontId="2" fillId="2" borderId="19" xfId="0" applyFont="1" applyFill="1" applyBorder="1" applyAlignment="1"/>
    <xf numFmtId="0" fontId="2" fillId="2" borderId="21" xfId="0" applyFont="1" applyFill="1" applyBorder="1" applyAlignment="1"/>
    <xf numFmtId="168" fontId="0" fillId="0" borderId="37" xfId="0" applyNumberFormat="1" applyBorder="1"/>
    <xf numFmtId="168" fontId="0" fillId="0" borderId="40" xfId="0" applyNumberFormat="1" applyBorder="1"/>
    <xf numFmtId="0" fontId="0" fillId="4" borderId="1" xfId="0" applyFill="1" applyBorder="1"/>
    <xf numFmtId="0" fontId="0" fillId="0" borderId="1" xfId="0" applyFill="1" applyBorder="1"/>
    <xf numFmtId="44" fontId="0" fillId="4" borderId="0" xfId="2" applyFont="1" applyFill="1"/>
    <xf numFmtId="170" fontId="0" fillId="0" borderId="1" xfId="0" applyNumberFormat="1" applyBorder="1" applyAlignment="1">
      <alignment vertical="top" wrapText="1"/>
    </xf>
    <xf numFmtId="170" fontId="0" fillId="0" borderId="1" xfId="0" applyNumberFormat="1" applyBorder="1"/>
    <xf numFmtId="170" fontId="0" fillId="0" borderId="9" xfId="0" applyNumberFormat="1" applyBorder="1"/>
    <xf numFmtId="43" fontId="0" fillId="0" borderId="23" xfId="1" applyFont="1" applyBorder="1"/>
    <xf numFmtId="164" fontId="0" fillId="0" borderId="22" xfId="1" applyNumberFormat="1" applyFont="1" applyBorder="1"/>
    <xf numFmtId="43" fontId="0" fillId="0" borderId="23" xfId="1" applyFont="1" applyFill="1" applyBorder="1"/>
    <xf numFmtId="164" fontId="0" fillId="0" borderId="22" xfId="1" applyNumberFormat="1" applyFont="1" applyFill="1" applyBorder="1"/>
    <xf numFmtId="43" fontId="0" fillId="0" borderId="35" xfId="1" applyFont="1" applyFill="1" applyBorder="1"/>
    <xf numFmtId="164" fontId="0" fillId="0" borderId="34" xfId="1" applyNumberFormat="1" applyFont="1" applyFill="1" applyBorder="1"/>
    <xf numFmtId="164" fontId="0" fillId="0" borderId="24" xfId="1" applyNumberFormat="1" applyFont="1" applyFill="1" applyBorder="1"/>
    <xf numFmtId="43" fontId="0" fillId="0" borderId="26" xfId="1" applyFont="1" applyFill="1" applyBorder="1"/>
    <xf numFmtId="168" fontId="0" fillId="0" borderId="41" xfId="0" applyNumberFormat="1" applyBorder="1"/>
    <xf numFmtId="169" fontId="0" fillId="0" borderId="36" xfId="1" applyNumberFormat="1" applyFont="1" applyFill="1" applyBorder="1"/>
    <xf numFmtId="168" fontId="0" fillId="0" borderId="21" xfId="0" applyNumberFormat="1" applyBorder="1"/>
    <xf numFmtId="0" fontId="0" fillId="0" borderId="37" xfId="0" applyBorder="1"/>
    <xf numFmtId="0" fontId="0" fillId="0" borderId="38" xfId="0" applyBorder="1"/>
    <xf numFmtId="0" fontId="2" fillId="2" borderId="0" xfId="0" applyFont="1" applyFill="1"/>
    <xf numFmtId="0" fontId="0" fillId="0" borderId="39" xfId="0" applyBorder="1"/>
    <xf numFmtId="168" fontId="0" fillId="0" borderId="43" xfId="0" applyNumberFormat="1" applyBorder="1"/>
    <xf numFmtId="168" fontId="0" fillId="0" borderId="44" xfId="0" applyNumberFormat="1" applyBorder="1"/>
    <xf numFmtId="168" fontId="0" fillId="0" borderId="45" xfId="0" applyNumberFormat="1" applyBorder="1"/>
    <xf numFmtId="168" fontId="0" fillId="0" borderId="42" xfId="0" applyNumberFormat="1" applyBorder="1"/>
    <xf numFmtId="168" fontId="0" fillId="0" borderId="0" xfId="0" applyNumberFormat="1"/>
    <xf numFmtId="43" fontId="0" fillId="0" borderId="0" xfId="0" applyNumberFormat="1" applyFill="1"/>
    <xf numFmtId="0" fontId="2" fillId="0" borderId="19" xfId="0" applyFont="1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topLeftCell="B10" workbookViewId="0">
      <selection activeCell="G24" sqref="G24:G25"/>
    </sheetView>
  </sheetViews>
  <sheetFormatPr defaultRowHeight="15" x14ac:dyDescent="0.25"/>
  <cols>
    <col min="1" max="1" width="17.7109375" customWidth="1"/>
    <col min="2" max="2" width="27.85546875" style="1" customWidth="1"/>
    <col min="3" max="3" width="14.42578125" style="39" customWidth="1"/>
    <col min="4" max="4" width="10.5703125" bestFit="1" customWidth="1"/>
    <col min="5" max="5" width="8.140625" style="2" customWidth="1"/>
    <col min="6" max="6" width="14.42578125" style="39" customWidth="1"/>
    <col min="7" max="7" width="10.5703125" bestFit="1" customWidth="1"/>
    <col min="8" max="8" width="8.140625" style="2" customWidth="1"/>
    <col min="9" max="9" width="14.28515625" style="39" customWidth="1"/>
    <col min="10" max="10" width="10.5703125" customWidth="1"/>
    <col min="11" max="11" width="8.140625" style="2" customWidth="1"/>
    <col min="12" max="12" width="14.5703125" style="39" customWidth="1"/>
    <col min="13" max="13" width="9.5703125" bestFit="1" customWidth="1"/>
    <col min="14" max="14" width="7.5703125" style="2" customWidth="1"/>
    <col min="15" max="15" width="15" style="39" customWidth="1"/>
    <col min="16" max="16" width="9.5703125" bestFit="1" customWidth="1"/>
    <col min="17" max="17" width="8" style="2" customWidth="1"/>
    <col min="18" max="18" width="15.5703125" style="39" customWidth="1"/>
    <col min="19" max="19" width="9.5703125" bestFit="1" customWidth="1"/>
    <col min="20" max="20" width="7.85546875" style="2" customWidth="1"/>
    <col min="21" max="21" width="14.140625" style="39" customWidth="1"/>
    <col min="22" max="22" width="9.5703125" bestFit="1" customWidth="1"/>
    <col min="23" max="23" width="8.140625" style="2" customWidth="1"/>
    <col min="24" max="24" width="13.28515625" customWidth="1"/>
    <col min="25" max="25" width="18.85546875" customWidth="1"/>
    <col min="26" max="26" width="12.7109375" customWidth="1"/>
    <col min="27" max="27" width="18.140625" customWidth="1"/>
  </cols>
  <sheetData>
    <row r="1" spans="1:27" ht="15.75" thickBot="1" x14ac:dyDescent="0.3">
      <c r="A1" s="1" t="s">
        <v>28</v>
      </c>
    </row>
    <row r="2" spans="1:27" x14ac:dyDescent="0.25">
      <c r="A2" s="51">
        <v>42488</v>
      </c>
      <c r="X2" s="126" t="s">
        <v>38</v>
      </c>
      <c r="Y2" s="127"/>
    </row>
    <row r="3" spans="1:27" ht="15.75" thickBot="1" x14ac:dyDescent="0.3">
      <c r="A3" s="50"/>
      <c r="C3" s="89"/>
      <c r="D3" s="90"/>
      <c r="E3" s="91"/>
      <c r="F3" s="89"/>
      <c r="G3" s="90"/>
      <c r="H3" s="91"/>
      <c r="X3" s="116"/>
      <c r="Y3" s="117"/>
    </row>
    <row r="4" spans="1:27" s="92" customFormat="1" ht="15.75" thickBot="1" x14ac:dyDescent="0.3">
      <c r="B4" s="93"/>
      <c r="C4" s="94"/>
      <c r="D4" s="12" t="s">
        <v>33</v>
      </c>
      <c r="E4" s="13"/>
      <c r="F4" s="94" t="s">
        <v>32</v>
      </c>
      <c r="G4" s="12"/>
      <c r="H4" s="13"/>
      <c r="I4" s="40"/>
      <c r="J4" s="12">
        <v>2016</v>
      </c>
      <c r="K4" s="13"/>
      <c r="L4" s="40"/>
      <c r="M4" s="12">
        <v>2017</v>
      </c>
      <c r="N4" s="13"/>
      <c r="O4" s="40"/>
      <c r="P4" s="12">
        <v>2018</v>
      </c>
      <c r="Q4" s="13"/>
      <c r="R4" s="40"/>
      <c r="S4" s="12">
        <v>2019</v>
      </c>
      <c r="T4" s="13"/>
      <c r="U4" s="40"/>
      <c r="V4" s="12">
        <v>2020</v>
      </c>
      <c r="W4" s="13"/>
      <c r="X4" s="95" t="s">
        <v>34</v>
      </c>
      <c r="Y4" s="96"/>
      <c r="Z4" s="95" t="s">
        <v>35</v>
      </c>
      <c r="AA4" s="96"/>
    </row>
    <row r="5" spans="1:27" s="38" customFormat="1" ht="75.75" customHeight="1" thickBot="1" x14ac:dyDescent="0.3">
      <c r="A5" s="33"/>
      <c r="B5" s="34" t="s">
        <v>4</v>
      </c>
      <c r="C5" s="41" t="s">
        <v>5</v>
      </c>
      <c r="D5" s="36" t="s">
        <v>6</v>
      </c>
      <c r="E5" s="37" t="s">
        <v>10</v>
      </c>
      <c r="F5" s="41" t="s">
        <v>5</v>
      </c>
      <c r="G5" s="36" t="s">
        <v>6</v>
      </c>
      <c r="H5" s="37" t="s">
        <v>10</v>
      </c>
      <c r="I5" s="41" t="s">
        <v>5</v>
      </c>
      <c r="J5" s="36" t="s">
        <v>6</v>
      </c>
      <c r="K5" s="37" t="s">
        <v>10</v>
      </c>
      <c r="L5" s="41" t="s">
        <v>5</v>
      </c>
      <c r="M5" s="36" t="s">
        <v>6</v>
      </c>
      <c r="N5" s="37" t="s">
        <v>10</v>
      </c>
      <c r="O5" s="41" t="s">
        <v>5</v>
      </c>
      <c r="P5" s="36" t="s">
        <v>6</v>
      </c>
      <c r="Q5" s="37" t="s">
        <v>10</v>
      </c>
      <c r="R5" s="41" t="s">
        <v>5</v>
      </c>
      <c r="S5" s="36" t="s">
        <v>6</v>
      </c>
      <c r="T5" s="37" t="s">
        <v>10</v>
      </c>
      <c r="U5" s="41" t="s">
        <v>5</v>
      </c>
      <c r="V5" s="36" t="s">
        <v>6</v>
      </c>
      <c r="W5" s="37" t="s">
        <v>10</v>
      </c>
      <c r="X5" s="35" t="s">
        <v>15</v>
      </c>
      <c r="Y5" s="37" t="s">
        <v>16</v>
      </c>
      <c r="Z5" s="35" t="s">
        <v>15</v>
      </c>
      <c r="AA5" s="37" t="s">
        <v>16</v>
      </c>
    </row>
    <row r="6" spans="1:27" x14ac:dyDescent="0.25">
      <c r="A6" s="20" t="s">
        <v>17</v>
      </c>
      <c r="B6" s="21" t="s">
        <v>0</v>
      </c>
      <c r="C6" s="42">
        <v>240901</v>
      </c>
      <c r="D6" s="23">
        <v>296.39999999999998</v>
      </c>
      <c r="E6" s="24" t="s">
        <v>12</v>
      </c>
      <c r="F6" s="42">
        <v>240901</v>
      </c>
      <c r="G6" s="23">
        <v>295.48700000000002</v>
      </c>
      <c r="H6" s="24" t="s">
        <v>12</v>
      </c>
      <c r="I6" s="42">
        <v>259078</v>
      </c>
      <c r="J6" s="23">
        <v>299.3</v>
      </c>
      <c r="K6" s="24" t="s">
        <v>12</v>
      </c>
      <c r="L6" s="42">
        <v>261089</v>
      </c>
      <c r="M6" s="23">
        <v>302.5</v>
      </c>
      <c r="N6" s="24" t="s">
        <v>12</v>
      </c>
      <c r="O6" s="42">
        <v>263100</v>
      </c>
      <c r="P6" s="23">
        <v>305.7</v>
      </c>
      <c r="Q6" s="24" t="s">
        <v>12</v>
      </c>
      <c r="R6" s="42">
        <v>265111</v>
      </c>
      <c r="S6" s="58">
        <v>309</v>
      </c>
      <c r="T6" s="24" t="s">
        <v>12</v>
      </c>
      <c r="U6" s="42">
        <v>267122</v>
      </c>
      <c r="V6" s="23">
        <v>312.2</v>
      </c>
      <c r="W6" s="24" t="s">
        <v>12</v>
      </c>
      <c r="X6" s="22">
        <f>SUM(F6+I6+L6+O6+R6+U6)</f>
        <v>1556401</v>
      </c>
      <c r="Y6" s="107">
        <f>SUM(G6+J6+M6+P6+S6+V6)</f>
        <v>1824.1870000000001</v>
      </c>
      <c r="Z6" s="106">
        <f>SUM(F6+I6+L6+O6+R6+U6)</f>
        <v>1556401</v>
      </c>
      <c r="AA6" s="105">
        <f>SUM(D6+J6+M6+P6+S6+V6)</f>
        <v>1825.1000000000001</v>
      </c>
    </row>
    <row r="7" spans="1:27" x14ac:dyDescent="0.25">
      <c r="A7" s="19" t="s">
        <v>17</v>
      </c>
      <c r="B7" s="16" t="s">
        <v>1</v>
      </c>
      <c r="C7" s="43">
        <v>38635</v>
      </c>
      <c r="D7" s="3">
        <v>537</v>
      </c>
      <c r="E7" s="11" t="s">
        <v>12</v>
      </c>
      <c r="F7" s="43">
        <v>38635</v>
      </c>
      <c r="G7" s="3">
        <f>150.493+415.223</f>
        <v>565.71600000000001</v>
      </c>
      <c r="H7" s="11" t="s">
        <v>12</v>
      </c>
      <c r="I7" s="43">
        <v>144952</v>
      </c>
      <c r="J7" s="3">
        <v>537</v>
      </c>
      <c r="K7" s="11" t="s">
        <v>12</v>
      </c>
      <c r="L7" s="43">
        <v>144952</v>
      </c>
      <c r="M7" s="3">
        <v>537</v>
      </c>
      <c r="N7" s="11" t="s">
        <v>12</v>
      </c>
      <c r="O7" s="43">
        <v>144952</v>
      </c>
      <c r="P7" s="3">
        <v>537</v>
      </c>
      <c r="Q7" s="11" t="s">
        <v>12</v>
      </c>
      <c r="R7" s="43">
        <v>144952</v>
      </c>
      <c r="S7" s="59">
        <v>537</v>
      </c>
      <c r="T7" s="11" t="s">
        <v>12</v>
      </c>
      <c r="U7" s="43">
        <v>144952</v>
      </c>
      <c r="V7" s="3">
        <v>537</v>
      </c>
      <c r="W7" s="11" t="s">
        <v>12</v>
      </c>
      <c r="X7" s="22">
        <f>SUM(F7+I7+L7+O7+R7+U7)</f>
        <v>763395</v>
      </c>
      <c r="Y7" s="107">
        <f t="shared" ref="Y7:Y18" si="0">SUM(G7+J7+M7+P7+S7+V7)</f>
        <v>3250.7159999999999</v>
      </c>
      <c r="Z7" s="108">
        <f t="shared" ref="Z7:Z19" si="1">SUM(F7+I7+L7+O7+R7+U7)</f>
        <v>763395</v>
      </c>
      <c r="AA7" s="107">
        <f t="shared" ref="AA7:AA17" si="2">SUM(D7+J7+M7+P7+S7+V7)</f>
        <v>3222</v>
      </c>
    </row>
    <row r="8" spans="1:27" x14ac:dyDescent="0.25">
      <c r="A8" s="20" t="s">
        <v>26</v>
      </c>
      <c r="B8" s="16" t="s">
        <v>31</v>
      </c>
      <c r="C8" s="43"/>
      <c r="D8" s="3">
        <v>353</v>
      </c>
      <c r="E8" s="11" t="s">
        <v>18</v>
      </c>
      <c r="F8" s="43"/>
      <c r="G8" s="3">
        <v>351.80500000000001</v>
      </c>
      <c r="H8" s="11" t="s">
        <v>18</v>
      </c>
      <c r="I8" s="43">
        <v>165750</v>
      </c>
      <c r="J8" s="3">
        <v>317.7</v>
      </c>
      <c r="K8" s="11" t="s">
        <v>11</v>
      </c>
      <c r="L8" s="43">
        <v>182735</v>
      </c>
      <c r="M8" s="3">
        <v>407.7</v>
      </c>
      <c r="N8" s="11" t="s">
        <v>11</v>
      </c>
      <c r="O8" s="43">
        <v>187695</v>
      </c>
      <c r="P8" s="3">
        <v>428.9</v>
      </c>
      <c r="Q8" s="11" t="s">
        <v>11</v>
      </c>
      <c r="R8" s="43">
        <v>190175</v>
      </c>
      <c r="S8" s="59">
        <v>439.5</v>
      </c>
      <c r="T8" s="11" t="s">
        <v>11</v>
      </c>
      <c r="U8" s="43">
        <v>192655</v>
      </c>
      <c r="V8" s="3">
        <v>450.1</v>
      </c>
      <c r="W8" s="11" t="s">
        <v>11</v>
      </c>
      <c r="X8" s="22">
        <f>SUM(F8+I8+L8+O8+R8+U8)</f>
        <v>919010</v>
      </c>
      <c r="Y8" s="107">
        <f t="shared" si="0"/>
        <v>2395.7049999999999</v>
      </c>
      <c r="Z8" s="108">
        <f t="shared" si="1"/>
        <v>919010</v>
      </c>
      <c r="AA8" s="107">
        <f t="shared" si="2"/>
        <v>2396.9</v>
      </c>
    </row>
    <row r="9" spans="1:27" x14ac:dyDescent="0.25">
      <c r="A9" s="20" t="s">
        <v>26</v>
      </c>
      <c r="B9" s="16" t="s">
        <v>2</v>
      </c>
      <c r="C9" s="43">
        <v>1268</v>
      </c>
      <c r="D9" s="3">
        <v>303.39999999999998</v>
      </c>
      <c r="E9" s="11" t="s">
        <v>11</v>
      </c>
      <c r="F9" s="43">
        <v>1268</v>
      </c>
      <c r="G9" s="3">
        <v>0</v>
      </c>
      <c r="H9" s="11" t="s">
        <v>11</v>
      </c>
      <c r="I9" s="43">
        <v>13691</v>
      </c>
      <c r="J9" s="3">
        <v>151.69999999999999</v>
      </c>
      <c r="K9" s="11" t="s">
        <v>11</v>
      </c>
      <c r="L9" s="43">
        <v>13691</v>
      </c>
      <c r="M9" s="3">
        <v>151.69999999999999</v>
      </c>
      <c r="N9" s="11" t="s">
        <v>11</v>
      </c>
      <c r="O9" s="43">
        <v>13691</v>
      </c>
      <c r="P9" s="3">
        <v>151.69999999999999</v>
      </c>
      <c r="Q9" s="11" t="s">
        <v>11</v>
      </c>
      <c r="R9" s="43">
        <v>13691</v>
      </c>
      <c r="S9" s="59">
        <v>151.69999999999999</v>
      </c>
      <c r="T9" s="11" t="s">
        <v>11</v>
      </c>
      <c r="U9" s="43">
        <v>13691</v>
      </c>
      <c r="V9" s="3">
        <v>151.69999999999999</v>
      </c>
      <c r="W9" s="11" t="s">
        <v>11</v>
      </c>
      <c r="X9" s="22">
        <f t="shared" ref="X9:X17" si="3">SUM(F9+I9+L9+O9+R9+U9)</f>
        <v>69723</v>
      </c>
      <c r="Y9" s="107">
        <f t="shared" si="0"/>
        <v>758.5</v>
      </c>
      <c r="Z9" s="108">
        <f t="shared" si="1"/>
        <v>69723</v>
      </c>
      <c r="AA9" s="107">
        <v>607</v>
      </c>
    </row>
    <row r="10" spans="1:27" x14ac:dyDescent="0.25">
      <c r="A10" s="19" t="s">
        <v>17</v>
      </c>
      <c r="B10" s="16" t="s">
        <v>3</v>
      </c>
      <c r="C10" s="43">
        <v>0</v>
      </c>
      <c r="D10" s="3">
        <v>0</v>
      </c>
      <c r="E10" s="11" t="s">
        <v>12</v>
      </c>
      <c r="F10" s="43">
        <v>0</v>
      </c>
      <c r="G10" s="3">
        <v>0</v>
      </c>
      <c r="H10" s="11" t="s">
        <v>12</v>
      </c>
      <c r="I10" s="43">
        <v>55537</v>
      </c>
      <c r="J10" s="5">
        <v>0</v>
      </c>
      <c r="K10" s="11" t="s">
        <v>12</v>
      </c>
      <c r="L10" s="43">
        <v>95537</v>
      </c>
      <c r="M10" s="3">
        <v>1044</v>
      </c>
      <c r="N10" s="11" t="s">
        <v>12</v>
      </c>
      <c r="O10" s="43">
        <v>95537</v>
      </c>
      <c r="P10" s="3">
        <v>1044</v>
      </c>
      <c r="Q10" s="11" t="s">
        <v>12</v>
      </c>
      <c r="R10" s="43">
        <v>90537</v>
      </c>
      <c r="S10" s="59">
        <v>913.5</v>
      </c>
      <c r="T10" s="11" t="s">
        <v>12</v>
      </c>
      <c r="U10" s="43">
        <v>35000</v>
      </c>
      <c r="V10" s="3">
        <v>913.5</v>
      </c>
      <c r="W10" s="11" t="s">
        <v>12</v>
      </c>
      <c r="X10" s="22">
        <f t="shared" si="3"/>
        <v>372148</v>
      </c>
      <c r="Y10" s="107">
        <f t="shared" si="0"/>
        <v>3915</v>
      </c>
      <c r="Z10" s="108">
        <f t="shared" si="1"/>
        <v>372148</v>
      </c>
      <c r="AA10" s="107">
        <f t="shared" si="2"/>
        <v>3915</v>
      </c>
    </row>
    <row r="11" spans="1:27" x14ac:dyDescent="0.25">
      <c r="A11" s="19" t="s">
        <v>17</v>
      </c>
      <c r="B11" s="16" t="s">
        <v>24</v>
      </c>
      <c r="C11" s="43">
        <v>0</v>
      </c>
      <c r="D11" s="3">
        <v>0</v>
      </c>
      <c r="E11" s="11" t="s">
        <v>12</v>
      </c>
      <c r="F11" s="43">
        <v>0</v>
      </c>
      <c r="G11" s="3">
        <v>0</v>
      </c>
      <c r="H11" s="11" t="s">
        <v>12</v>
      </c>
      <c r="I11" s="43">
        <v>0</v>
      </c>
      <c r="J11" s="3">
        <v>0</v>
      </c>
      <c r="K11" s="11" t="s">
        <v>12</v>
      </c>
      <c r="L11" s="43">
        <v>0</v>
      </c>
      <c r="M11" s="3">
        <v>0</v>
      </c>
      <c r="N11" s="11" t="s">
        <v>12</v>
      </c>
      <c r="O11" s="43">
        <v>226100</v>
      </c>
      <c r="P11" s="5">
        <v>932</v>
      </c>
      <c r="Q11" s="11" t="s">
        <v>12</v>
      </c>
      <c r="R11" s="43">
        <v>186536</v>
      </c>
      <c r="S11" s="59">
        <v>1205</v>
      </c>
      <c r="T11" s="11" t="s">
        <v>12</v>
      </c>
      <c r="U11" s="43">
        <v>180535</v>
      </c>
      <c r="V11" s="3">
        <v>2066</v>
      </c>
      <c r="W11" s="11" t="s">
        <v>12</v>
      </c>
      <c r="X11" s="22">
        <f t="shared" si="3"/>
        <v>593171</v>
      </c>
      <c r="Y11" s="107">
        <f t="shared" si="0"/>
        <v>4203</v>
      </c>
      <c r="Z11" s="108">
        <f t="shared" si="1"/>
        <v>593171</v>
      </c>
      <c r="AA11" s="107">
        <v>2066</v>
      </c>
    </row>
    <row r="12" spans="1:27" s="29" customFormat="1" ht="30" x14ac:dyDescent="0.25">
      <c r="A12" s="25" t="s">
        <v>26</v>
      </c>
      <c r="B12" s="17" t="s">
        <v>23</v>
      </c>
      <c r="C12" s="44">
        <v>0</v>
      </c>
      <c r="D12" s="26">
        <v>114</v>
      </c>
      <c r="E12" s="27" t="s">
        <v>19</v>
      </c>
      <c r="F12" s="44">
        <v>0</v>
      </c>
      <c r="G12" s="26">
        <v>0</v>
      </c>
      <c r="H12" s="27" t="s">
        <v>19</v>
      </c>
      <c r="I12" s="44">
        <v>37436</v>
      </c>
      <c r="J12" s="26">
        <v>114</v>
      </c>
      <c r="K12" s="27" t="s">
        <v>19</v>
      </c>
      <c r="L12" s="44">
        <v>37436</v>
      </c>
      <c r="M12" s="26">
        <v>114</v>
      </c>
      <c r="N12" s="27" t="s">
        <v>19</v>
      </c>
      <c r="O12" s="44">
        <v>37436</v>
      </c>
      <c r="P12" s="28">
        <v>114</v>
      </c>
      <c r="Q12" s="27" t="s">
        <v>19</v>
      </c>
      <c r="R12" s="44">
        <v>37436</v>
      </c>
      <c r="S12" s="60">
        <v>114</v>
      </c>
      <c r="T12" s="27" t="s">
        <v>19</v>
      </c>
      <c r="U12" s="44">
        <v>37436</v>
      </c>
      <c r="V12" s="26">
        <v>114</v>
      </c>
      <c r="W12" s="27" t="s">
        <v>19</v>
      </c>
      <c r="X12" s="22">
        <f t="shared" si="3"/>
        <v>187180</v>
      </c>
      <c r="Y12" s="107">
        <f t="shared" si="0"/>
        <v>570</v>
      </c>
      <c r="Z12" s="108">
        <f t="shared" si="1"/>
        <v>187180</v>
      </c>
      <c r="AA12" s="107">
        <f t="shared" si="2"/>
        <v>684</v>
      </c>
    </row>
    <row r="13" spans="1:27" x14ac:dyDescent="0.25">
      <c r="A13" s="19" t="s">
        <v>26</v>
      </c>
      <c r="B13" s="16" t="s">
        <v>22</v>
      </c>
      <c r="C13" s="43">
        <v>0</v>
      </c>
      <c r="D13" s="100">
        <v>14571.9</v>
      </c>
      <c r="E13" s="11" t="s">
        <v>14</v>
      </c>
      <c r="F13" s="43">
        <v>0</v>
      </c>
      <c r="G13" s="99">
        <v>14571.9</v>
      </c>
      <c r="H13" s="11" t="s">
        <v>14</v>
      </c>
      <c r="I13" s="43">
        <v>679190</v>
      </c>
      <c r="J13" s="3">
        <v>13485</v>
      </c>
      <c r="K13" s="11" t="s">
        <v>14</v>
      </c>
      <c r="L13" s="43">
        <v>0</v>
      </c>
      <c r="M13" s="3">
        <v>0</v>
      </c>
      <c r="N13" s="11"/>
      <c r="O13" s="43"/>
      <c r="P13" s="5"/>
      <c r="Q13" s="11"/>
      <c r="R13" s="43"/>
      <c r="S13" s="59"/>
      <c r="T13" s="11"/>
      <c r="U13" s="43"/>
      <c r="V13" s="3"/>
      <c r="W13" s="11"/>
      <c r="X13" s="22">
        <f t="shared" si="3"/>
        <v>679190</v>
      </c>
      <c r="Y13" s="107">
        <f t="shared" si="0"/>
        <v>28056.9</v>
      </c>
      <c r="Z13" s="108">
        <f t="shared" si="1"/>
        <v>679190</v>
      </c>
      <c r="AA13" s="107">
        <f t="shared" si="2"/>
        <v>28056.9</v>
      </c>
    </row>
    <row r="14" spans="1:27" s="30" customFormat="1" ht="30" x14ac:dyDescent="0.25">
      <c r="A14" s="25" t="s">
        <v>26</v>
      </c>
      <c r="B14" s="17" t="s">
        <v>7</v>
      </c>
      <c r="C14" s="45">
        <v>115500</v>
      </c>
      <c r="D14" s="85">
        <v>2471.5</v>
      </c>
      <c r="E14" s="31" t="s">
        <v>13</v>
      </c>
      <c r="F14" s="45">
        <v>115500</v>
      </c>
      <c r="G14" s="85">
        <v>2500</v>
      </c>
      <c r="H14" s="31" t="s">
        <v>13</v>
      </c>
      <c r="I14" s="45">
        <v>833227</v>
      </c>
      <c r="J14" s="85">
        <v>2173.6999999999998</v>
      </c>
      <c r="K14" s="31" t="s">
        <v>13</v>
      </c>
      <c r="L14" s="45">
        <v>822227</v>
      </c>
      <c r="M14" s="85">
        <v>2173.6999999999998</v>
      </c>
      <c r="N14" s="31" t="s">
        <v>13</v>
      </c>
      <c r="O14" s="45">
        <v>822227</v>
      </c>
      <c r="P14" s="85">
        <v>2173.6999999999998</v>
      </c>
      <c r="Q14" s="31" t="s">
        <v>13</v>
      </c>
      <c r="R14" s="45">
        <v>822227</v>
      </c>
      <c r="S14" s="61">
        <v>2173.6999999999998</v>
      </c>
      <c r="T14" s="31" t="s">
        <v>13</v>
      </c>
      <c r="U14" s="45">
        <v>822227</v>
      </c>
      <c r="V14" s="85">
        <v>2173.6999999999998</v>
      </c>
      <c r="W14" s="31" t="s">
        <v>13</v>
      </c>
      <c r="X14" s="22">
        <f t="shared" si="3"/>
        <v>4237635</v>
      </c>
      <c r="Y14" s="107">
        <f t="shared" si="0"/>
        <v>13368.5</v>
      </c>
      <c r="Z14" s="108">
        <f t="shared" si="1"/>
        <v>4237635</v>
      </c>
      <c r="AA14" s="107">
        <f t="shared" si="2"/>
        <v>13340</v>
      </c>
    </row>
    <row r="15" spans="1:27" s="30" customFormat="1" x14ac:dyDescent="0.25">
      <c r="A15" s="19" t="s">
        <v>26</v>
      </c>
      <c r="B15" s="17" t="s">
        <v>25</v>
      </c>
      <c r="C15" s="45">
        <v>0</v>
      </c>
      <c r="D15" s="6">
        <v>200</v>
      </c>
      <c r="E15" s="31" t="s">
        <v>14</v>
      </c>
      <c r="F15" s="45">
        <v>0</v>
      </c>
      <c r="G15" s="102">
        <v>44.859000000000002</v>
      </c>
      <c r="H15" s="31" t="s">
        <v>14</v>
      </c>
      <c r="I15" s="43">
        <v>97200</v>
      </c>
      <c r="J15" s="3">
        <v>200</v>
      </c>
      <c r="K15" s="11" t="s">
        <v>14</v>
      </c>
      <c r="L15" s="43">
        <v>97200</v>
      </c>
      <c r="M15" s="3">
        <v>200</v>
      </c>
      <c r="N15" s="11" t="s">
        <v>14</v>
      </c>
      <c r="O15" s="43">
        <v>97200</v>
      </c>
      <c r="P15" s="3">
        <v>200</v>
      </c>
      <c r="Q15" s="11" t="s">
        <v>14</v>
      </c>
      <c r="R15" s="43">
        <v>97200</v>
      </c>
      <c r="S15" s="59">
        <v>200</v>
      </c>
      <c r="T15" s="11" t="s">
        <v>14</v>
      </c>
      <c r="U15" s="43">
        <v>97200</v>
      </c>
      <c r="V15" s="3">
        <v>200</v>
      </c>
      <c r="W15" s="11" t="s">
        <v>14</v>
      </c>
      <c r="X15" s="22">
        <f t="shared" si="3"/>
        <v>486000</v>
      </c>
      <c r="Y15" s="107">
        <f t="shared" si="0"/>
        <v>1044.8589999999999</v>
      </c>
      <c r="Z15" s="108">
        <f t="shared" si="1"/>
        <v>486000</v>
      </c>
      <c r="AA15" s="107">
        <f t="shared" si="2"/>
        <v>1200</v>
      </c>
    </row>
    <row r="16" spans="1:27" s="30" customFormat="1" x14ac:dyDescent="0.25">
      <c r="A16" s="19" t="s">
        <v>17</v>
      </c>
      <c r="B16" s="17" t="s">
        <v>8</v>
      </c>
      <c r="C16" s="43">
        <v>20295</v>
      </c>
      <c r="D16" s="3">
        <v>314.10000000000002</v>
      </c>
      <c r="E16" s="31" t="s">
        <v>12</v>
      </c>
      <c r="F16" s="43">
        <v>20295</v>
      </c>
      <c r="G16" s="103">
        <v>440.7</v>
      </c>
      <c r="H16" s="31" t="s">
        <v>12</v>
      </c>
      <c r="I16" s="43">
        <v>182940</v>
      </c>
      <c r="J16" s="3">
        <v>113.4</v>
      </c>
      <c r="K16" s="11" t="s">
        <v>12</v>
      </c>
      <c r="L16" s="43">
        <v>147940</v>
      </c>
      <c r="M16" s="3">
        <v>85.1</v>
      </c>
      <c r="N16" s="11" t="s">
        <v>12</v>
      </c>
      <c r="O16" s="43">
        <v>147940</v>
      </c>
      <c r="P16" s="3">
        <v>85.1</v>
      </c>
      <c r="Q16" s="11" t="s">
        <v>12</v>
      </c>
      <c r="R16" s="43">
        <v>147940</v>
      </c>
      <c r="S16" s="59">
        <v>85.1</v>
      </c>
      <c r="T16" s="11" t="s">
        <v>12</v>
      </c>
      <c r="U16" s="43">
        <v>147940</v>
      </c>
      <c r="V16" s="3">
        <v>85.1</v>
      </c>
      <c r="W16" s="11" t="s">
        <v>12</v>
      </c>
      <c r="X16" s="22">
        <f t="shared" si="3"/>
        <v>794995</v>
      </c>
      <c r="Y16" s="107">
        <f t="shared" si="0"/>
        <v>894.50000000000011</v>
      </c>
      <c r="Z16" s="108">
        <f t="shared" si="1"/>
        <v>794995</v>
      </c>
      <c r="AA16" s="107">
        <f t="shared" si="2"/>
        <v>767.90000000000009</v>
      </c>
    </row>
    <row r="17" spans="1:27" s="30" customFormat="1" x14ac:dyDescent="0.25">
      <c r="A17" s="19" t="s">
        <v>26</v>
      </c>
      <c r="B17" s="17" t="s">
        <v>30</v>
      </c>
      <c r="C17" s="43"/>
      <c r="D17" s="3"/>
      <c r="E17" s="31"/>
      <c r="F17" s="43"/>
      <c r="G17" s="103"/>
      <c r="H17" s="31"/>
      <c r="I17" s="43"/>
      <c r="J17" s="3"/>
      <c r="K17" s="11"/>
      <c r="L17" s="43">
        <v>26051</v>
      </c>
      <c r="M17" s="3">
        <v>78.3</v>
      </c>
      <c r="N17" s="11" t="s">
        <v>11</v>
      </c>
      <c r="O17" s="43">
        <v>26051</v>
      </c>
      <c r="P17" s="3">
        <v>78.3</v>
      </c>
      <c r="Q17" s="11" t="s">
        <v>11</v>
      </c>
      <c r="R17" s="43">
        <v>26051</v>
      </c>
      <c r="S17" s="59">
        <v>78</v>
      </c>
      <c r="T17" s="11" t="s">
        <v>11</v>
      </c>
      <c r="U17" s="43">
        <v>26051</v>
      </c>
      <c r="V17" s="3">
        <v>78.3</v>
      </c>
      <c r="W17" s="11" t="s">
        <v>11</v>
      </c>
      <c r="X17" s="22">
        <f t="shared" si="3"/>
        <v>104204</v>
      </c>
      <c r="Y17" s="107">
        <f t="shared" si="0"/>
        <v>312.89999999999998</v>
      </c>
      <c r="Z17" s="108">
        <f t="shared" si="1"/>
        <v>104204</v>
      </c>
      <c r="AA17" s="107">
        <f t="shared" si="2"/>
        <v>312.89999999999998</v>
      </c>
    </row>
    <row r="18" spans="1:27" ht="15.75" thickBot="1" x14ac:dyDescent="0.3">
      <c r="A18" s="52" t="s">
        <v>27</v>
      </c>
      <c r="B18" s="53" t="s">
        <v>29</v>
      </c>
      <c r="C18" s="54">
        <v>0</v>
      </c>
      <c r="D18" s="86">
        <v>20.6</v>
      </c>
      <c r="E18" s="55" t="s">
        <v>12</v>
      </c>
      <c r="F18" s="54">
        <v>0</v>
      </c>
      <c r="G18" s="104">
        <v>63.822000000000003</v>
      </c>
      <c r="H18" s="55" t="s">
        <v>12</v>
      </c>
      <c r="I18" s="54"/>
      <c r="J18" s="56"/>
      <c r="K18" s="55"/>
      <c r="L18" s="54"/>
      <c r="M18" s="56"/>
      <c r="N18" s="55"/>
      <c r="O18" s="54"/>
      <c r="P18" s="56"/>
      <c r="Q18" s="55"/>
      <c r="R18" s="54"/>
      <c r="S18" s="56"/>
      <c r="T18" s="55"/>
      <c r="U18" s="54"/>
      <c r="V18" s="56"/>
      <c r="W18" s="55"/>
      <c r="X18" s="57">
        <v>0</v>
      </c>
      <c r="Y18" s="107">
        <f t="shared" si="0"/>
        <v>63.822000000000003</v>
      </c>
      <c r="Z18" s="110">
        <f t="shared" si="1"/>
        <v>0</v>
      </c>
      <c r="AA18" s="109">
        <v>0</v>
      </c>
    </row>
    <row r="19" spans="1:27" ht="15.75" thickBot="1" x14ac:dyDescent="0.3">
      <c r="A19" s="18" t="s">
        <v>9</v>
      </c>
      <c r="B19" s="18"/>
      <c r="C19" s="46">
        <f>SUM(C6:C18)</f>
        <v>416599</v>
      </c>
      <c r="D19" s="87">
        <f>SUM(D6:D18)</f>
        <v>19181.899999999998</v>
      </c>
      <c r="E19" s="14"/>
      <c r="F19" s="46">
        <f>SUM(F6:F18)</f>
        <v>416599</v>
      </c>
      <c r="G19" s="87">
        <f>SUM(G6:G18)</f>
        <v>18834.289000000001</v>
      </c>
      <c r="H19" s="14"/>
      <c r="I19" s="46">
        <f>SUM(I6:I17)</f>
        <v>2469001</v>
      </c>
      <c r="J19" s="88">
        <f>SUM(J6:J17)</f>
        <v>17391.800000000003</v>
      </c>
      <c r="K19" s="32"/>
      <c r="L19" s="46">
        <f>SUM(L6:L17)</f>
        <v>1828858</v>
      </c>
      <c r="M19" s="88">
        <f>SUM(M6:M17)</f>
        <v>5094.0000000000009</v>
      </c>
      <c r="N19" s="32"/>
      <c r="O19" s="46">
        <f>SUM(O6:O17)</f>
        <v>2061929</v>
      </c>
      <c r="P19" s="88">
        <f>SUM(P6:P17)</f>
        <v>6050.4000000000005</v>
      </c>
      <c r="Q19" s="32"/>
      <c r="R19" s="46">
        <f>SUM(R6:R17)</f>
        <v>2021856</v>
      </c>
      <c r="S19" s="88">
        <f>SUM(S6:S17)</f>
        <v>6206.5</v>
      </c>
      <c r="T19" s="32"/>
      <c r="U19" s="46">
        <f>SUM(U6:U17)</f>
        <v>1964809</v>
      </c>
      <c r="V19" s="88">
        <f>SUM(V6:V17)</f>
        <v>7081.6</v>
      </c>
      <c r="W19" s="32"/>
      <c r="X19" s="15">
        <f>SUM(X6:X17)</f>
        <v>10763052</v>
      </c>
      <c r="Y19" s="114">
        <f>SUM(Y6:Y18)</f>
        <v>60658.589</v>
      </c>
      <c r="Z19" s="111">
        <f t="shared" si="1"/>
        <v>10763052</v>
      </c>
      <c r="AA19" s="112">
        <f>SUM(AA6:AA18)</f>
        <v>58393.700000000004</v>
      </c>
    </row>
    <row r="20" spans="1:27" ht="15.75" thickBot="1" x14ac:dyDescent="0.3">
      <c r="Z20" s="119"/>
    </row>
    <row r="21" spans="1:27" x14ac:dyDescent="0.25">
      <c r="B21" s="8" t="s">
        <v>17</v>
      </c>
      <c r="C21" s="47"/>
      <c r="D21" s="63">
        <f>D6+D7+D10+D11+D16+D18</f>
        <v>1168.0999999999999</v>
      </c>
      <c r="E21" s="64"/>
      <c r="F21" s="47"/>
      <c r="G21" s="63">
        <f>G6+G7+G10+G11+G16+G18</f>
        <v>1365.7249999999999</v>
      </c>
      <c r="H21" s="64"/>
      <c r="I21" s="65"/>
      <c r="J21" s="63">
        <f>J6+J7+J10+J11+J16</f>
        <v>949.69999999999993</v>
      </c>
      <c r="K21" s="64"/>
      <c r="L21" s="65"/>
      <c r="M21" s="63">
        <f>M6+M7+M10+M11+M16</f>
        <v>1968.6</v>
      </c>
      <c r="N21" s="66"/>
      <c r="O21" s="65"/>
      <c r="P21" s="63">
        <f>SUM(P6+P7+P10+P11+P16)</f>
        <v>2903.7999999999997</v>
      </c>
      <c r="Q21" s="64"/>
      <c r="R21" s="65"/>
      <c r="S21" s="63">
        <f>S6+S7+S10+S11+S16</f>
        <v>3049.6</v>
      </c>
      <c r="T21" s="64"/>
      <c r="U21" s="67"/>
      <c r="V21" s="63">
        <f>V6+V7+V10+V11+V16</f>
        <v>3913.7999999999997</v>
      </c>
      <c r="W21" s="63"/>
      <c r="X21" s="68"/>
      <c r="Y21" s="120">
        <f>Y6+Y7+Y10+Y11+Y16+Y18</f>
        <v>14151.225</v>
      </c>
      <c r="Z21" s="69"/>
      <c r="AA21" s="115">
        <f t="shared" ref="AA21" si="4">AA6+AA7+AA10+AA11+AA16</f>
        <v>11796</v>
      </c>
    </row>
    <row r="22" spans="1:27" x14ac:dyDescent="0.25">
      <c r="B22" s="9" t="s">
        <v>18</v>
      </c>
      <c r="C22" s="48"/>
      <c r="D22" s="69">
        <f>(D8)+(((D14)-D25)*0.13)</f>
        <v>548.71500000000003</v>
      </c>
      <c r="E22" s="70"/>
      <c r="F22" s="48"/>
      <c r="G22" s="69">
        <f>(G8)+(((G14)-G25)*0.13)</f>
        <v>551.22500000000002</v>
      </c>
      <c r="H22" s="70"/>
      <c r="I22" s="71"/>
      <c r="J22" s="69">
        <f>(J8*0.75)+((J14-J25)*0.13)</f>
        <v>440.90599999999995</v>
      </c>
      <c r="K22" s="70"/>
      <c r="L22" s="71"/>
      <c r="M22" s="69">
        <f>(M8*0.75)+((M14-M25)*0.13)+(M17*0.13)</f>
        <v>518.58499999999992</v>
      </c>
      <c r="N22" s="72"/>
      <c r="O22" s="71"/>
      <c r="P22" s="69">
        <f>(P8*0.75)+(P14*0.13)+(P17*0.13)</f>
        <v>614.43499999999983</v>
      </c>
      <c r="Q22" s="70"/>
      <c r="R22" s="71"/>
      <c r="S22" s="69">
        <f>(S8*0.75)+(S14*0.13)+(S17*0.13)</f>
        <v>622.34599999999989</v>
      </c>
      <c r="T22" s="70"/>
      <c r="U22" s="73"/>
      <c r="V22" s="69">
        <f>(V8*0.75)+(V14*0.13)+(V17*0.13)</f>
        <v>630.33499999999992</v>
      </c>
      <c r="W22" s="69"/>
      <c r="X22" s="74"/>
      <c r="Y22" s="121">
        <f t="shared" ref="Y22:AA22" si="5">(Y8*0.75)+(Y14*0.13)+(Y17*0.13)</f>
        <v>3575.3607500000003</v>
      </c>
      <c r="Z22" s="69"/>
      <c r="AA22" s="75">
        <f t="shared" si="5"/>
        <v>3572.5520000000001</v>
      </c>
    </row>
    <row r="23" spans="1:27" x14ac:dyDescent="0.25">
      <c r="B23" s="9" t="s">
        <v>19</v>
      </c>
      <c r="C23" s="48"/>
      <c r="D23" s="69">
        <f>((D14-D25)*0.87)+D9+D12</f>
        <v>1727.1849999999999</v>
      </c>
      <c r="E23" s="70"/>
      <c r="F23" s="48"/>
      <c r="G23" s="69">
        <f>((G14-G25)*0.87)+G9+G12</f>
        <v>1334.58</v>
      </c>
      <c r="H23" s="70"/>
      <c r="I23" s="71"/>
      <c r="J23" s="69">
        <f>J9+((J14-J25)*0.87)+(J8*0.25)+J12</f>
        <v>1701.1939999999997</v>
      </c>
      <c r="K23" s="70"/>
      <c r="L23" s="71"/>
      <c r="M23" s="69">
        <f>M9+(M8*0.25)+((M14-M25)*0.87)+M12+(M17*0.87)</f>
        <v>1791.8149999999998</v>
      </c>
      <c r="N23" s="72"/>
      <c r="O23" s="71"/>
      <c r="P23" s="69">
        <f>P9+(P8*0.25)+(P14*0.87)+P12+(P17*0.87)</f>
        <v>2332.165</v>
      </c>
      <c r="Q23" s="70"/>
      <c r="R23" s="71"/>
      <c r="S23" s="69">
        <f>S9+(S8*0.25)+(S14*0.87)+S12+(S17*0.87)</f>
        <v>2334.5540000000001</v>
      </c>
      <c r="T23" s="70"/>
      <c r="U23" s="73"/>
      <c r="V23" s="69">
        <f>V9+(V8*0.25)+(V14*0.87)+V12+(V17*0.87)</f>
        <v>2337.4650000000001</v>
      </c>
      <c r="W23" s="69"/>
      <c r="X23" s="74"/>
      <c r="Y23" s="121">
        <f t="shared" ref="Y23:AA23" si="6">Y9+(Y8*0.25)+(Y14*0.87)+Y12+(Y17*0.87)</f>
        <v>13830.24425</v>
      </c>
      <c r="Z23" s="69"/>
      <c r="AA23" s="75">
        <f t="shared" si="6"/>
        <v>13768.248</v>
      </c>
    </row>
    <row r="24" spans="1:27" x14ac:dyDescent="0.25">
      <c r="B24" s="9" t="s">
        <v>20</v>
      </c>
      <c r="C24" s="48"/>
      <c r="D24" s="69">
        <f>D15+D13</f>
        <v>14771.9</v>
      </c>
      <c r="E24" s="70"/>
      <c r="F24" s="48"/>
      <c r="G24" s="69">
        <f>G15+G13</f>
        <v>14616.759</v>
      </c>
      <c r="H24" s="70"/>
      <c r="I24" s="71"/>
      <c r="J24" s="69">
        <f>J13+J15</f>
        <v>13685</v>
      </c>
      <c r="K24" s="70"/>
      <c r="L24" s="71"/>
      <c r="M24" s="69">
        <f>M15</f>
        <v>200</v>
      </c>
      <c r="N24" s="72"/>
      <c r="O24" s="71"/>
      <c r="P24" s="69">
        <f>P15</f>
        <v>200</v>
      </c>
      <c r="Q24" s="70"/>
      <c r="R24" s="71"/>
      <c r="S24" s="69">
        <f>S15</f>
        <v>200</v>
      </c>
      <c r="T24" s="70"/>
      <c r="U24" s="73"/>
      <c r="V24" s="69">
        <f>V15</f>
        <v>200</v>
      </c>
      <c r="W24" s="69"/>
      <c r="X24" s="74"/>
      <c r="Y24" s="121">
        <f>Y15+Y13</f>
        <v>29101.759000000002</v>
      </c>
      <c r="Z24" s="69"/>
      <c r="AA24" s="75">
        <f t="shared" ref="AA24" si="7">AA15+AA13</f>
        <v>29256.9</v>
      </c>
    </row>
    <row r="25" spans="1:27" x14ac:dyDescent="0.25">
      <c r="B25" s="9" t="s">
        <v>21</v>
      </c>
      <c r="C25" s="48"/>
      <c r="D25" s="76">
        <v>966</v>
      </c>
      <c r="E25" s="70"/>
      <c r="F25" s="48"/>
      <c r="G25" s="76">
        <v>966</v>
      </c>
      <c r="H25" s="70"/>
      <c r="I25" s="71"/>
      <c r="J25" s="76">
        <v>615</v>
      </c>
      <c r="K25" s="70"/>
      <c r="L25" s="71"/>
      <c r="M25" s="76">
        <v>615</v>
      </c>
      <c r="N25" s="72"/>
      <c r="O25" s="71"/>
      <c r="P25" s="76">
        <v>0</v>
      </c>
      <c r="Q25" s="70"/>
      <c r="R25" s="71"/>
      <c r="S25" s="76">
        <v>0</v>
      </c>
      <c r="T25" s="70"/>
      <c r="U25" s="73"/>
      <c r="V25" s="76">
        <v>0</v>
      </c>
      <c r="W25" s="69"/>
      <c r="X25" s="74"/>
      <c r="Y25" s="122">
        <v>0</v>
      </c>
      <c r="Z25" s="69"/>
      <c r="AA25" s="98">
        <v>0</v>
      </c>
    </row>
    <row r="26" spans="1:27" ht="15.75" thickBot="1" x14ac:dyDescent="0.3">
      <c r="B26" s="9"/>
      <c r="C26" s="48"/>
      <c r="D26" s="69"/>
      <c r="E26" s="70"/>
      <c r="F26" s="48"/>
      <c r="G26" s="69"/>
      <c r="H26" s="70"/>
      <c r="I26" s="71"/>
      <c r="J26" s="69"/>
      <c r="K26" s="70"/>
      <c r="L26" s="71"/>
      <c r="M26" s="69"/>
      <c r="N26" s="72"/>
      <c r="O26" s="77"/>
      <c r="P26" s="76"/>
      <c r="Q26" s="78"/>
      <c r="R26" s="77"/>
      <c r="S26" s="76"/>
      <c r="T26" s="78"/>
      <c r="U26" s="73"/>
      <c r="V26" s="69"/>
      <c r="W26" s="72"/>
      <c r="X26" s="97"/>
      <c r="Y26" s="121"/>
      <c r="Z26" s="113"/>
      <c r="AA26" s="75"/>
    </row>
    <row r="27" spans="1:27" ht="15.75" thickBot="1" x14ac:dyDescent="0.3">
      <c r="B27" s="4" t="s">
        <v>37</v>
      </c>
      <c r="C27" s="49"/>
      <c r="D27" s="62">
        <f>SUM(D21:D25)</f>
        <v>19181.900000000001</v>
      </c>
      <c r="E27" s="79"/>
      <c r="F27" s="49"/>
      <c r="G27" s="62">
        <f>SUM(G21:G25)</f>
        <v>18834.289000000001</v>
      </c>
      <c r="H27" s="79"/>
      <c r="I27" s="80"/>
      <c r="J27" s="62">
        <f>SUM(J21:J25)</f>
        <v>17391.8</v>
      </c>
      <c r="K27" s="81"/>
      <c r="L27" s="80"/>
      <c r="M27" s="62">
        <f>SUM(M21:M25)</f>
        <v>5094</v>
      </c>
      <c r="N27" s="79"/>
      <c r="O27" s="82"/>
      <c r="P27" s="62">
        <f t="shared" ref="P27:V27" si="8">SUM(P21:P25)</f>
        <v>6050.4</v>
      </c>
      <c r="Q27" s="81"/>
      <c r="R27" s="80"/>
      <c r="S27" s="62">
        <f t="shared" si="8"/>
        <v>6206.5</v>
      </c>
      <c r="T27" s="79"/>
      <c r="U27" s="82"/>
      <c r="V27" s="62">
        <f t="shared" si="8"/>
        <v>7081.5999999999995</v>
      </c>
      <c r="W27" s="81"/>
      <c r="X27" s="83"/>
      <c r="Y27" s="123">
        <f>SUM(Y21:Y26)</f>
        <v>60658.589000000007</v>
      </c>
      <c r="Z27" s="113"/>
      <c r="AA27" s="84">
        <f>SUM(AA21:AA26)</f>
        <v>58393.7</v>
      </c>
    </row>
    <row r="28" spans="1:27" x14ac:dyDescent="0.25">
      <c r="A28" s="10"/>
      <c r="B28" s="7"/>
      <c r="Y28" s="125">
        <f>Y27-Y19</f>
        <v>0</v>
      </c>
    </row>
    <row r="29" spans="1:27" x14ac:dyDescent="0.25">
      <c r="A29" s="10"/>
      <c r="B29" s="7"/>
      <c r="F29" s="101"/>
      <c r="G29" t="s">
        <v>36</v>
      </c>
      <c r="Y29" s="90"/>
    </row>
    <row r="30" spans="1:27" x14ac:dyDescent="0.25">
      <c r="A30" s="10"/>
      <c r="B30" s="7"/>
      <c r="X30" s="118" t="s">
        <v>39</v>
      </c>
      <c r="Y30" s="118"/>
      <c r="Z30" s="118"/>
      <c r="AA30" s="118" t="s">
        <v>40</v>
      </c>
    </row>
    <row r="31" spans="1:27" x14ac:dyDescent="0.25">
      <c r="A31" s="10"/>
      <c r="B31" s="7"/>
    </row>
    <row r="33" spans="25:25" x14ac:dyDescent="0.25">
      <c r="Y33" s="124">
        <f>+V27+S27+P27+M27+J27+G27</f>
        <v>60658.589000000007</v>
      </c>
    </row>
  </sheetData>
  <mergeCells count="1">
    <mergeCell ref="X2:Y2"/>
  </mergeCells>
  <printOptions headings="1"/>
  <pageMargins left="0.25" right="0.25" top="0.75" bottom="0.75" header="0.3" footer="0.3"/>
  <pageSetup paperSize="5" scale="50" fitToHeight="0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Thunder Bay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Safar</dc:creator>
  <cp:lastModifiedBy>Bruce Bacon</cp:lastModifiedBy>
  <cp:lastPrinted>2016-04-29T12:44:24Z</cp:lastPrinted>
  <dcterms:created xsi:type="dcterms:W3CDTF">2016-01-15T16:19:27Z</dcterms:created>
  <dcterms:modified xsi:type="dcterms:W3CDTF">2016-06-03T15:24:03Z</dcterms:modified>
</cp:coreProperties>
</file>