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H:\2017 COS\Interrogatories\"/>
    </mc:Choice>
  </mc:AlternateContent>
  <bookViews>
    <workbookView xWindow="0" yWindow="0" windowWidth="28800" windowHeight="1191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4" l="1"/>
  <c r="I14" i="4"/>
  <c r="I9" i="4" l="1"/>
  <c r="H9" i="4"/>
  <c r="I17" i="4" l="1"/>
  <c r="H17" i="4"/>
  <c r="I15" i="4" l="1"/>
  <c r="H15" i="4"/>
  <c r="H27" i="4" l="1"/>
  <c r="I27" i="4"/>
  <c r="J27" i="4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<sst xmlns="http://schemas.openxmlformats.org/spreadsheetml/2006/main" count="520" uniqueCount="278">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</sst>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41" fontId="0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opLeftCell="C1" zoomScaleNormal="100" workbookViewId="0">
      <selection activeCell="C3" sqref="C3:N3"/>
    </sheetView>
  </sheetViews>
  <sheetFormatPr defaultRowHeight="12.4" x14ac:dyDescent="0.35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2.9" x14ac:dyDescent="0.65">
      <c r="C2" s="223" t="s">
        <v>191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15" ht="19.5" customHeight="1" x14ac:dyDescent="0.45">
      <c r="C3" s="224" t="str">
        <f>IF(F5="Click to Choose an LDC","",F5)</f>
        <v>Welland Hydro-Electric System Corp.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15" s="92" customFormat="1" ht="19.5" customHeight="1" thickBot="1" x14ac:dyDescent="0.5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4">
      <c r="B5" s="145" t="s">
        <v>189</v>
      </c>
      <c r="E5" s="78"/>
      <c r="F5" s="146" t="s">
        <v>269</v>
      </c>
      <c r="G5" s="14" t="s">
        <v>175</v>
      </c>
      <c r="H5" s="14" t="s">
        <v>176</v>
      </c>
      <c r="I5" s="14" t="s">
        <v>174</v>
      </c>
      <c r="J5" s="225" t="s">
        <v>177</v>
      </c>
      <c r="K5" s="225"/>
      <c r="L5" s="225"/>
      <c r="M5" s="225"/>
      <c r="N5" s="78"/>
      <c r="O5" s="94"/>
    </row>
    <row r="6" spans="2:15" ht="36" customHeight="1" x14ac:dyDescent="0.6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35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35">
      <c r="C8" s="76" t="s">
        <v>85</v>
      </c>
      <c r="D8" s="76"/>
      <c r="E8" s="14"/>
      <c r="F8" s="26"/>
      <c r="H8" s="226"/>
      <c r="I8" s="226"/>
      <c r="J8" s="226"/>
      <c r="K8" s="226"/>
      <c r="L8" s="226"/>
      <c r="M8" s="226"/>
      <c r="N8" s="78"/>
    </row>
    <row r="9" spans="2:15" x14ac:dyDescent="0.35">
      <c r="B9" s="2">
        <v>1</v>
      </c>
      <c r="C9" s="77"/>
      <c r="D9" s="78" t="s">
        <v>86</v>
      </c>
      <c r="F9" s="26"/>
      <c r="G9" s="86">
        <f>'Benchmarking Calculations'!G92</f>
        <v>2506400</v>
      </c>
      <c r="H9" s="125">
        <f>2921146+207255</f>
        <v>3128401</v>
      </c>
      <c r="I9" s="125">
        <f>2278219+25000</f>
        <v>2303219</v>
      </c>
      <c r="J9" s="125"/>
      <c r="K9" s="125"/>
      <c r="L9" s="125"/>
      <c r="M9" s="125"/>
      <c r="N9" s="78" t="s">
        <v>172</v>
      </c>
      <c r="O9" s="88"/>
    </row>
    <row r="10" spans="2:15" x14ac:dyDescent="0.35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>
        <v>0</v>
      </c>
      <c r="I10" s="125">
        <v>0</v>
      </c>
      <c r="J10" s="125"/>
      <c r="K10" s="125"/>
      <c r="L10" s="125"/>
      <c r="M10" s="125"/>
      <c r="N10" s="78" t="s">
        <v>172</v>
      </c>
      <c r="O10" s="88"/>
    </row>
    <row r="11" spans="2:15" x14ac:dyDescent="0.35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35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35">
      <c r="B13" s="2">
        <v>3</v>
      </c>
      <c r="C13" s="77"/>
      <c r="D13" s="37" t="s">
        <v>89</v>
      </c>
      <c r="F13" s="26"/>
      <c r="G13" s="86">
        <f>'Benchmarking Calculations'!G96</f>
        <v>22666</v>
      </c>
      <c r="H13" s="125">
        <v>22852</v>
      </c>
      <c r="I13" s="125">
        <v>23060</v>
      </c>
      <c r="J13" s="125"/>
      <c r="K13" s="125"/>
      <c r="L13" s="125"/>
      <c r="M13" s="125"/>
      <c r="N13" s="78" t="s">
        <v>172</v>
      </c>
      <c r="O13" s="88"/>
    </row>
    <row r="14" spans="2:15" x14ac:dyDescent="0.35">
      <c r="B14" s="2">
        <v>4</v>
      </c>
      <c r="C14" s="77"/>
      <c r="D14" s="37" t="s">
        <v>90</v>
      </c>
      <c r="F14" s="26"/>
      <c r="G14" s="86">
        <f>'Benchmarking Calculations'!G97</f>
        <v>352083285</v>
      </c>
      <c r="H14" s="125">
        <f>163109690+53545593+143431671</f>
        <v>360086954</v>
      </c>
      <c r="I14" s="125">
        <f>158180250+51585867+134086770</f>
        <v>343852887</v>
      </c>
      <c r="J14" s="125"/>
      <c r="K14" s="125"/>
      <c r="L14" s="125"/>
      <c r="M14" s="125"/>
      <c r="N14" s="78" t="s">
        <v>172</v>
      </c>
      <c r="O14" s="88"/>
    </row>
    <row r="15" spans="2:15" x14ac:dyDescent="0.35">
      <c r="B15" s="2">
        <v>5</v>
      </c>
      <c r="C15" s="26"/>
      <c r="D15" s="37" t="s">
        <v>91</v>
      </c>
      <c r="F15" s="26"/>
      <c r="G15" s="86">
        <f>'Benchmarking Calculations'!G98</f>
        <v>73422</v>
      </c>
      <c r="H15" s="221">
        <f>H14/G14*G15</f>
        <v>75091.05221109261</v>
      </c>
      <c r="I15" s="221">
        <f>I14/G14*G15</f>
        <v>71705.666655870926</v>
      </c>
      <c r="J15" s="125"/>
      <c r="K15" s="125"/>
      <c r="L15" s="125"/>
      <c r="M15" s="125"/>
      <c r="N15" s="78" t="s">
        <v>172</v>
      </c>
      <c r="O15" s="88"/>
    </row>
    <row r="16" spans="2:15" x14ac:dyDescent="0.35">
      <c r="B16" s="2">
        <v>6</v>
      </c>
      <c r="C16" s="26"/>
      <c r="D16" s="78" t="s">
        <v>192</v>
      </c>
      <c r="F16" s="26"/>
      <c r="G16" s="86">
        <f>'Benchmarking Calculations'!G99</f>
        <v>480</v>
      </c>
      <c r="H16" s="125">
        <v>480</v>
      </c>
      <c r="I16" s="125">
        <v>480</v>
      </c>
      <c r="J16" s="125"/>
      <c r="K16" s="125"/>
      <c r="L16" s="125"/>
      <c r="M16" s="125"/>
      <c r="N16" s="78" t="s">
        <v>172</v>
      </c>
      <c r="O16" s="88"/>
    </row>
    <row r="17" spans="2:15" x14ac:dyDescent="0.35">
      <c r="B17" s="2">
        <v>7</v>
      </c>
      <c r="C17" s="38"/>
      <c r="D17" s="77" t="s">
        <v>121</v>
      </c>
      <c r="F17" s="78"/>
      <c r="G17" s="90">
        <f>'Benchmarking Calculations'!G145</f>
        <v>5.7676154923005131E-2</v>
      </c>
      <c r="H17" s="119">
        <f>(22768/20795)-1</f>
        <v>9.4878576580908813E-2</v>
      </c>
      <c r="I17" s="119">
        <f>(22974/20849)-1</f>
        <v>0.10192335363806415</v>
      </c>
      <c r="J17" s="119"/>
      <c r="K17" s="119"/>
      <c r="L17" s="119"/>
      <c r="M17" s="119"/>
      <c r="N17" s="78" t="s">
        <v>172</v>
      </c>
      <c r="O17" s="88"/>
    </row>
    <row r="18" spans="2:15" x14ac:dyDescent="0.35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35">
      <c r="C19" s="76" t="s">
        <v>165</v>
      </c>
      <c r="E19" s="77"/>
      <c r="F19" s="78"/>
      <c r="G19" s="51"/>
      <c r="H19" s="226"/>
      <c r="I19" s="226"/>
      <c r="J19" s="226"/>
      <c r="K19" s="226"/>
      <c r="L19" s="226"/>
      <c r="M19" s="226"/>
    </row>
    <row r="20" spans="2:15" x14ac:dyDescent="0.35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35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188</v>
      </c>
    </row>
    <row r="22" spans="2:15" x14ac:dyDescent="0.35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5.91E-2</v>
      </c>
      <c r="I22" s="124">
        <v>5.67E-2</v>
      </c>
      <c r="J22" s="124"/>
      <c r="K22" s="124"/>
      <c r="L22" s="124"/>
      <c r="M22" s="124"/>
      <c r="N22" s="78" t="s">
        <v>172</v>
      </c>
    </row>
    <row r="23" spans="2:15" s="92" customFormat="1" x14ac:dyDescent="0.35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35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35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2.75" thickBot="1" x14ac:dyDescent="0.4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2.75" thickBot="1" x14ac:dyDescent="0.4">
      <c r="E27" s="144" t="s">
        <v>170</v>
      </c>
      <c r="F27" s="76" t="s">
        <v>198</v>
      </c>
      <c r="G27" s="51">
        <f>G35-G36+G37</f>
        <v>6172834</v>
      </c>
      <c r="H27" s="51">
        <f t="shared" ref="H27:M27" si="0">H35-H36+H37</f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2.75" thickBot="1" x14ac:dyDescent="0.4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2.75" thickBot="1" x14ac:dyDescent="0.4">
      <c r="E29" s="144" t="s">
        <v>169</v>
      </c>
      <c r="F29" s="76" t="s">
        <v>202</v>
      </c>
      <c r="G29" s="51">
        <f t="shared" ref="G29:M29" si="1">G115-G121+G122</f>
        <v>6172834</v>
      </c>
      <c r="H29" s="51">
        <f t="shared" si="1"/>
        <v>6568601</v>
      </c>
      <c r="I29" s="51">
        <f t="shared" si="1"/>
        <v>6788015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35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35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6172834</v>
      </c>
      <c r="H31" s="51">
        <f t="shared" si="2"/>
        <v>6568601</v>
      </c>
      <c r="I31" s="51">
        <f t="shared" si="2"/>
        <v>6788015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2.75" thickBot="1" x14ac:dyDescent="0.4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35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35">
      <c r="C34" s="154"/>
      <c r="D34" s="79" t="s">
        <v>179</v>
      </c>
      <c r="E34" s="26"/>
      <c r="F34" s="26"/>
      <c r="G34" s="86"/>
      <c r="H34" s="222" t="s">
        <v>183</v>
      </c>
      <c r="I34" s="222"/>
      <c r="J34" s="222"/>
      <c r="K34" s="222"/>
      <c r="L34" s="222"/>
      <c r="M34" s="222"/>
      <c r="N34" s="155"/>
    </row>
    <row r="35" spans="2:14" x14ac:dyDescent="0.35">
      <c r="C35" s="154"/>
      <c r="D35" s="171" t="s">
        <v>195</v>
      </c>
      <c r="E35" s="26" t="s">
        <v>203</v>
      </c>
      <c r="F35" s="26"/>
      <c r="G35" s="85">
        <f>G115</f>
        <v>6172834</v>
      </c>
      <c r="H35" s="125"/>
      <c r="I35" s="125"/>
      <c r="J35" s="120"/>
      <c r="K35" s="120"/>
      <c r="L35" s="120"/>
      <c r="M35" s="120"/>
      <c r="N35" s="155" t="s">
        <v>172</v>
      </c>
    </row>
    <row r="36" spans="2:14" x14ac:dyDescent="0.35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35">
      <c r="C37" s="154"/>
      <c r="D37" s="172" t="s">
        <v>197</v>
      </c>
      <c r="E37" s="26" t="s">
        <v>83</v>
      </c>
      <c r="F37" s="26"/>
      <c r="G37" s="51">
        <f>G122</f>
        <v>0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s="92" customFormat="1" ht="12.75" thickBot="1" x14ac:dyDescent="0.4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2.75" thickBot="1" x14ac:dyDescent="0.4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35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35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35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35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35">
      <c r="C44" s="159"/>
      <c r="D44" s="26"/>
      <c r="E44" s="78">
        <v>5005</v>
      </c>
      <c r="F44" s="151" t="s">
        <v>8</v>
      </c>
      <c r="G44" s="58">
        <f>'Benchmarking Calculations'!G10</f>
        <v>238998</v>
      </c>
      <c r="H44" s="142">
        <v>259906</v>
      </c>
      <c r="I44" s="142">
        <v>269861</v>
      </c>
      <c r="J44" s="143"/>
      <c r="K44" s="143"/>
      <c r="L44" s="143"/>
      <c r="M44" s="143"/>
      <c r="N44" s="155" t="s">
        <v>172</v>
      </c>
    </row>
    <row r="45" spans="2:14" x14ac:dyDescent="0.35">
      <c r="C45" s="159"/>
      <c r="D45" s="26"/>
      <c r="E45" s="78">
        <v>5010</v>
      </c>
      <c r="F45" s="151" t="s">
        <v>9</v>
      </c>
      <c r="G45" s="58">
        <f>'Benchmarking Calculations'!G11</f>
        <v>150533</v>
      </c>
      <c r="H45" s="142">
        <v>203958</v>
      </c>
      <c r="I45" s="142">
        <v>165074</v>
      </c>
      <c r="J45" s="143"/>
      <c r="K45" s="143"/>
      <c r="L45" s="143"/>
      <c r="M45" s="143"/>
      <c r="N45" s="155" t="s">
        <v>172</v>
      </c>
    </row>
    <row r="46" spans="2:14" x14ac:dyDescent="0.35">
      <c r="C46" s="159"/>
      <c r="D46" s="26"/>
      <c r="E46" s="78">
        <v>5012</v>
      </c>
      <c r="F46" s="151" t="s">
        <v>10</v>
      </c>
      <c r="G46" s="58">
        <f>'Benchmarking Calculations'!G12</f>
        <v>16691</v>
      </c>
      <c r="H46" s="142">
        <v>14802</v>
      </c>
      <c r="I46" s="142">
        <v>17697</v>
      </c>
      <c r="J46" s="143"/>
      <c r="K46" s="143"/>
      <c r="L46" s="143"/>
      <c r="M46" s="143"/>
      <c r="N46" s="155" t="s">
        <v>172</v>
      </c>
    </row>
    <row r="47" spans="2:14" x14ac:dyDescent="0.35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/>
      <c r="I47" s="142"/>
      <c r="J47" s="143"/>
      <c r="K47" s="143"/>
      <c r="L47" s="143"/>
      <c r="M47" s="143"/>
      <c r="N47" s="155" t="s">
        <v>172</v>
      </c>
    </row>
    <row r="48" spans="2:14" ht="24.75" x14ac:dyDescent="0.35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5" t="s">
        <v>172</v>
      </c>
    </row>
    <row r="49" spans="3:14" x14ac:dyDescent="0.35">
      <c r="C49" s="159"/>
      <c r="D49" s="26"/>
      <c r="E49" s="78">
        <v>5016</v>
      </c>
      <c r="F49" s="151" t="s">
        <v>13</v>
      </c>
      <c r="G49" s="58">
        <f>'Benchmarking Calculations'!G15</f>
        <v>16981</v>
      </c>
      <c r="H49" s="142">
        <v>21220</v>
      </c>
      <c r="I49" s="142">
        <v>19184</v>
      </c>
      <c r="J49" s="143"/>
      <c r="K49" s="143"/>
      <c r="L49" s="143"/>
      <c r="M49" s="143"/>
      <c r="N49" s="155" t="s">
        <v>172</v>
      </c>
    </row>
    <row r="50" spans="3:14" ht="24.75" x14ac:dyDescent="0.35">
      <c r="C50" s="159"/>
      <c r="D50" s="26"/>
      <c r="E50" s="78">
        <v>5017</v>
      </c>
      <c r="F50" s="151" t="s">
        <v>14</v>
      </c>
      <c r="G50" s="58">
        <f>'Benchmarking Calculations'!G16</f>
        <v>129204</v>
      </c>
      <c r="H50" s="142">
        <v>129527</v>
      </c>
      <c r="I50" s="142">
        <v>135828</v>
      </c>
      <c r="J50" s="143"/>
      <c r="K50" s="143"/>
      <c r="L50" s="143"/>
      <c r="M50" s="143"/>
      <c r="N50" s="155" t="s">
        <v>172</v>
      </c>
    </row>
    <row r="51" spans="3:14" ht="24.75" x14ac:dyDescent="0.35">
      <c r="C51" s="159"/>
      <c r="D51" s="26"/>
      <c r="E51" s="78">
        <v>5020</v>
      </c>
      <c r="F51" s="151" t="s">
        <v>15</v>
      </c>
      <c r="G51" s="58">
        <f>'Benchmarking Calculations'!G17</f>
        <v>163804</v>
      </c>
      <c r="H51" s="142">
        <v>160193</v>
      </c>
      <c r="I51" s="142">
        <v>184836</v>
      </c>
      <c r="J51" s="143"/>
      <c r="K51" s="143"/>
      <c r="L51" s="143"/>
      <c r="M51" s="143"/>
      <c r="N51" s="155" t="s">
        <v>172</v>
      </c>
    </row>
    <row r="52" spans="3:14" ht="24.75" x14ac:dyDescent="0.35">
      <c r="C52" s="159"/>
      <c r="D52" s="26"/>
      <c r="E52" s="78">
        <v>5025</v>
      </c>
      <c r="F52" s="151" t="s">
        <v>16</v>
      </c>
      <c r="G52" s="58">
        <f>'Benchmarking Calculations'!G18</f>
        <v>44001</v>
      </c>
      <c r="H52" s="142">
        <v>57255</v>
      </c>
      <c r="I52" s="142">
        <v>60271</v>
      </c>
      <c r="J52" s="143"/>
      <c r="K52" s="143"/>
      <c r="L52" s="143"/>
      <c r="M52" s="143"/>
      <c r="N52" s="155" t="s">
        <v>172</v>
      </c>
    </row>
    <row r="53" spans="3:14" x14ac:dyDescent="0.35">
      <c r="C53" s="159"/>
      <c r="D53" s="26"/>
      <c r="E53" s="78">
        <v>5035</v>
      </c>
      <c r="F53" s="151" t="s">
        <v>17</v>
      </c>
      <c r="G53" s="58">
        <f>'Benchmarking Calculations'!G19</f>
        <v>0</v>
      </c>
      <c r="H53" s="142"/>
      <c r="I53" s="142"/>
      <c r="J53" s="143"/>
      <c r="K53" s="143"/>
      <c r="L53" s="143"/>
      <c r="M53" s="143"/>
      <c r="N53" s="155" t="s">
        <v>172</v>
      </c>
    </row>
    <row r="54" spans="3:14" ht="24.75" x14ac:dyDescent="0.35">
      <c r="C54" s="159"/>
      <c r="D54" s="26"/>
      <c r="E54" s="78">
        <v>5040</v>
      </c>
      <c r="F54" s="151" t="s">
        <v>18</v>
      </c>
      <c r="G54" s="58">
        <f>'Benchmarking Calculations'!G20</f>
        <v>210588</v>
      </c>
      <c r="H54" s="142">
        <v>201521</v>
      </c>
      <c r="I54" s="142">
        <v>221942</v>
      </c>
      <c r="J54" s="143"/>
      <c r="K54" s="143"/>
      <c r="L54" s="143"/>
      <c r="M54" s="143"/>
      <c r="N54" s="155" t="s">
        <v>172</v>
      </c>
    </row>
    <row r="55" spans="3:14" ht="24.75" x14ac:dyDescent="0.35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v>1110</v>
      </c>
      <c r="I55" s="142"/>
      <c r="J55" s="143"/>
      <c r="K55" s="143"/>
      <c r="L55" s="143"/>
      <c r="M55" s="143"/>
      <c r="N55" s="155" t="s">
        <v>172</v>
      </c>
    </row>
    <row r="56" spans="3:14" x14ac:dyDescent="0.35">
      <c r="C56" s="159"/>
      <c r="D56" s="26"/>
      <c r="E56" s="78">
        <v>5055</v>
      </c>
      <c r="F56" s="151" t="s">
        <v>20</v>
      </c>
      <c r="G56" s="58">
        <f>'Benchmarking Calculations'!G22</f>
        <v>5011</v>
      </c>
      <c r="H56" s="142">
        <v>763</v>
      </c>
      <c r="I56" s="142">
        <v>4929</v>
      </c>
      <c r="J56" s="143"/>
      <c r="K56" s="143"/>
      <c r="L56" s="143"/>
      <c r="M56" s="143"/>
      <c r="N56" s="155" t="s">
        <v>172</v>
      </c>
    </row>
    <row r="57" spans="3:14" x14ac:dyDescent="0.35">
      <c r="C57" s="159"/>
      <c r="D57" s="26"/>
      <c r="E57" s="78">
        <v>5065</v>
      </c>
      <c r="F57" s="151" t="s">
        <v>21</v>
      </c>
      <c r="G57" s="58">
        <f>'Benchmarking Calculations'!G23</f>
        <v>223098</v>
      </c>
      <c r="H57" s="142">
        <v>299881</v>
      </c>
      <c r="I57" s="142">
        <v>303539</v>
      </c>
      <c r="J57" s="143"/>
      <c r="K57" s="143"/>
      <c r="L57" s="143"/>
      <c r="M57" s="143"/>
      <c r="N57" s="155" t="s">
        <v>172</v>
      </c>
    </row>
    <row r="58" spans="3:14" x14ac:dyDescent="0.35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/>
      <c r="I58" s="142"/>
      <c r="J58" s="143"/>
      <c r="K58" s="143"/>
      <c r="L58" s="143"/>
      <c r="M58" s="143"/>
      <c r="N58" s="155" t="s">
        <v>172</v>
      </c>
    </row>
    <row r="59" spans="3:14" x14ac:dyDescent="0.35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/>
      <c r="I59" s="142"/>
      <c r="J59" s="143"/>
      <c r="K59" s="143"/>
      <c r="L59" s="143"/>
      <c r="M59" s="143"/>
      <c r="N59" s="155" t="s">
        <v>172</v>
      </c>
    </row>
    <row r="60" spans="3:14" x14ac:dyDescent="0.35">
      <c r="C60" s="159"/>
      <c r="D60" s="26"/>
      <c r="E60" s="78">
        <v>5085</v>
      </c>
      <c r="F60" s="151" t="s">
        <v>24</v>
      </c>
      <c r="G60" s="58">
        <f>'Benchmarking Calculations'!G26</f>
        <v>97365</v>
      </c>
      <c r="H60" s="142">
        <v>86361</v>
      </c>
      <c r="I60" s="142">
        <v>100981</v>
      </c>
      <c r="J60" s="143"/>
      <c r="K60" s="143"/>
      <c r="L60" s="143"/>
      <c r="M60" s="143"/>
      <c r="N60" s="155" t="s">
        <v>172</v>
      </c>
    </row>
    <row r="61" spans="3:14" ht="24.75" x14ac:dyDescent="0.35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5" t="s">
        <v>172</v>
      </c>
    </row>
    <row r="62" spans="3:14" x14ac:dyDescent="0.35">
      <c r="C62" s="159"/>
      <c r="D62" s="26"/>
      <c r="E62" s="78">
        <v>5095</v>
      </c>
      <c r="F62" s="151" t="s">
        <v>26</v>
      </c>
      <c r="G62" s="58">
        <f>'Benchmarking Calculations'!G28</f>
        <v>23970</v>
      </c>
      <c r="H62" s="142">
        <v>25120</v>
      </c>
      <c r="I62" s="142">
        <v>24351</v>
      </c>
      <c r="J62" s="143"/>
      <c r="K62" s="143"/>
      <c r="L62" s="143"/>
      <c r="M62" s="143"/>
      <c r="N62" s="155" t="s">
        <v>172</v>
      </c>
    </row>
    <row r="63" spans="3:14" x14ac:dyDescent="0.35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/>
      <c r="I63" s="142"/>
      <c r="J63" s="143"/>
      <c r="K63" s="143"/>
      <c r="L63" s="143"/>
      <c r="M63" s="143"/>
      <c r="N63" s="155" t="s">
        <v>172</v>
      </c>
    </row>
    <row r="64" spans="3:14" x14ac:dyDescent="0.35">
      <c r="C64" s="159"/>
      <c r="D64" s="26"/>
      <c r="E64" s="16"/>
      <c r="F64" s="80" t="s">
        <v>28</v>
      </c>
      <c r="G64" s="110">
        <f>'Benchmarking Calculations'!G30</f>
        <v>1320244</v>
      </c>
      <c r="H64" s="81">
        <f t="shared" ref="H64:M64" si="3">SUM(H44:H63)</f>
        <v>1461617</v>
      </c>
      <c r="I64" s="81">
        <f t="shared" si="3"/>
        <v>1508493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60" t="s">
        <v>29</v>
      </c>
    </row>
    <row r="65" spans="3:14" x14ac:dyDescent="0.35">
      <c r="C65" s="159"/>
      <c r="D65" s="26"/>
      <c r="E65" s="78">
        <v>5105</v>
      </c>
      <c r="F65" s="151" t="s">
        <v>30</v>
      </c>
      <c r="G65" s="58">
        <f>'Benchmarking Calculations'!G31</f>
        <v>83978</v>
      </c>
      <c r="H65" s="142">
        <v>93111</v>
      </c>
      <c r="I65" s="142">
        <v>95380</v>
      </c>
      <c r="J65" s="143"/>
      <c r="K65" s="143"/>
      <c r="L65" s="143"/>
      <c r="M65" s="143"/>
      <c r="N65" s="155" t="s">
        <v>172</v>
      </c>
    </row>
    <row r="66" spans="3:14" x14ac:dyDescent="0.35">
      <c r="C66" s="159"/>
      <c r="D66" s="26"/>
      <c r="E66" s="78">
        <v>5110</v>
      </c>
      <c r="F66" s="151" t="s">
        <v>31</v>
      </c>
      <c r="G66" s="58">
        <f>'Benchmarking Calculations'!G32</f>
        <v>15656</v>
      </c>
      <c r="H66" s="142">
        <v>82701</v>
      </c>
      <c r="I66" s="142">
        <v>15326</v>
      </c>
      <c r="J66" s="143"/>
      <c r="K66" s="143"/>
      <c r="L66" s="143"/>
      <c r="M66" s="143"/>
      <c r="N66" s="155" t="s">
        <v>172</v>
      </c>
    </row>
    <row r="67" spans="3:14" x14ac:dyDescent="0.35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/>
      <c r="I67" s="142"/>
      <c r="J67" s="143"/>
      <c r="K67" s="143"/>
      <c r="L67" s="143"/>
      <c r="M67" s="143"/>
      <c r="N67" s="155" t="s">
        <v>172</v>
      </c>
    </row>
    <row r="68" spans="3:14" x14ac:dyDescent="0.35">
      <c r="C68" s="159"/>
      <c r="D68" s="26"/>
      <c r="E68" s="78">
        <v>5114</v>
      </c>
      <c r="F68" s="151" t="s">
        <v>33</v>
      </c>
      <c r="G68" s="58">
        <f>'Benchmarking Calculations'!G34</f>
        <v>59280</v>
      </c>
      <c r="H68" s="142">
        <v>38165</v>
      </c>
      <c r="I68" s="142">
        <v>57118</v>
      </c>
      <c r="J68" s="143"/>
      <c r="K68" s="143"/>
      <c r="L68" s="143"/>
      <c r="M68" s="143"/>
      <c r="N68" s="155" t="s">
        <v>172</v>
      </c>
    </row>
    <row r="69" spans="3:14" x14ac:dyDescent="0.35">
      <c r="C69" s="159"/>
      <c r="D69" s="26"/>
      <c r="E69" s="78">
        <v>5120</v>
      </c>
      <c r="F69" s="151" t="s">
        <v>34</v>
      </c>
      <c r="G69" s="58">
        <f>'Benchmarking Calculations'!G35</f>
        <v>188644</v>
      </c>
      <c r="H69" s="142">
        <v>177436</v>
      </c>
      <c r="I69" s="142">
        <v>191226</v>
      </c>
      <c r="J69" s="143"/>
      <c r="K69" s="143"/>
      <c r="L69" s="143"/>
      <c r="M69" s="143"/>
      <c r="N69" s="155" t="s">
        <v>172</v>
      </c>
    </row>
    <row r="70" spans="3:14" x14ac:dyDescent="0.35">
      <c r="C70" s="159"/>
      <c r="D70" s="26"/>
      <c r="E70" s="78">
        <v>5125</v>
      </c>
      <c r="F70" s="151" t="s">
        <v>35</v>
      </c>
      <c r="G70" s="58">
        <f>'Benchmarking Calculations'!G36</f>
        <v>475431</v>
      </c>
      <c r="H70" s="142">
        <v>412687</v>
      </c>
      <c r="I70" s="142">
        <v>486356</v>
      </c>
      <c r="J70" s="143"/>
      <c r="K70" s="143"/>
      <c r="L70" s="143"/>
      <c r="M70" s="143"/>
      <c r="N70" s="155" t="s">
        <v>172</v>
      </c>
    </row>
    <row r="71" spans="3:14" x14ac:dyDescent="0.35">
      <c r="C71" s="159"/>
      <c r="D71" s="26"/>
      <c r="E71" s="78">
        <v>5130</v>
      </c>
      <c r="F71" s="151" t="s">
        <v>36</v>
      </c>
      <c r="G71" s="58">
        <f>'Benchmarking Calculations'!G37</f>
        <v>322557</v>
      </c>
      <c r="H71" s="142">
        <v>294323</v>
      </c>
      <c r="I71" s="142">
        <v>332998</v>
      </c>
      <c r="J71" s="143"/>
      <c r="K71" s="143"/>
      <c r="L71" s="143"/>
      <c r="M71" s="143"/>
      <c r="N71" s="155" t="s">
        <v>172</v>
      </c>
    </row>
    <row r="72" spans="3:14" ht="24.75" x14ac:dyDescent="0.35">
      <c r="C72" s="159"/>
      <c r="D72" s="26"/>
      <c r="E72" s="78">
        <v>5135</v>
      </c>
      <c r="F72" s="151" t="s">
        <v>37</v>
      </c>
      <c r="G72" s="58">
        <f>'Benchmarking Calculations'!G38</f>
        <v>174760</v>
      </c>
      <c r="H72" s="142">
        <v>214023</v>
      </c>
      <c r="I72" s="142">
        <v>186818</v>
      </c>
      <c r="J72" s="143"/>
      <c r="K72" s="143"/>
      <c r="L72" s="143"/>
      <c r="M72" s="143"/>
      <c r="N72" s="155" t="s">
        <v>172</v>
      </c>
    </row>
    <row r="73" spans="3:14" x14ac:dyDescent="0.35">
      <c r="C73" s="159"/>
      <c r="D73" s="26"/>
      <c r="E73" s="78">
        <v>5145</v>
      </c>
      <c r="F73" s="151" t="s">
        <v>38</v>
      </c>
      <c r="G73" s="58">
        <f>'Benchmarking Calculations'!G39</f>
        <v>3195</v>
      </c>
      <c r="H73" s="142">
        <v>697</v>
      </c>
      <c r="I73" s="142">
        <v>3300</v>
      </c>
      <c r="J73" s="143"/>
      <c r="K73" s="143"/>
      <c r="L73" s="143"/>
      <c r="M73" s="143"/>
      <c r="N73" s="155" t="s">
        <v>172</v>
      </c>
    </row>
    <row r="74" spans="3:14" x14ac:dyDescent="0.35">
      <c r="C74" s="159"/>
      <c r="D74" s="26"/>
      <c r="E74" s="78">
        <v>5150</v>
      </c>
      <c r="F74" s="151" t="s">
        <v>39</v>
      </c>
      <c r="G74" s="58">
        <f>'Benchmarking Calculations'!G40</f>
        <v>187635</v>
      </c>
      <c r="H74" s="142">
        <v>156047</v>
      </c>
      <c r="I74" s="142">
        <v>188879</v>
      </c>
      <c r="J74" s="143"/>
      <c r="K74" s="143"/>
      <c r="L74" s="143"/>
      <c r="M74" s="143"/>
      <c r="N74" s="155" t="s">
        <v>172</v>
      </c>
    </row>
    <row r="75" spans="3:14" x14ac:dyDescent="0.35">
      <c r="C75" s="159"/>
      <c r="D75" s="26"/>
      <c r="E75" s="78">
        <v>5155</v>
      </c>
      <c r="F75" s="151" t="s">
        <v>40</v>
      </c>
      <c r="G75" s="58">
        <f>'Benchmarking Calculations'!G41</f>
        <v>143005</v>
      </c>
      <c r="H75" s="142">
        <v>141735</v>
      </c>
      <c r="I75" s="142">
        <v>142331</v>
      </c>
      <c r="J75" s="143"/>
      <c r="K75" s="143"/>
      <c r="L75" s="143"/>
      <c r="M75" s="143"/>
      <c r="N75" s="155" t="s">
        <v>172</v>
      </c>
    </row>
    <row r="76" spans="3:14" x14ac:dyDescent="0.35">
      <c r="C76" s="159"/>
      <c r="D76" s="26"/>
      <c r="E76" s="78">
        <v>5160</v>
      </c>
      <c r="F76" s="151" t="s">
        <v>41</v>
      </c>
      <c r="G76" s="58">
        <f>'Benchmarking Calculations'!G42</f>
        <v>91509</v>
      </c>
      <c r="H76" s="142">
        <v>101545</v>
      </c>
      <c r="I76" s="142">
        <v>90704</v>
      </c>
      <c r="J76" s="143"/>
      <c r="K76" s="143"/>
      <c r="L76" s="143"/>
      <c r="M76" s="143"/>
      <c r="N76" s="155" t="s">
        <v>172</v>
      </c>
    </row>
    <row r="77" spans="3:14" x14ac:dyDescent="0.35">
      <c r="C77" s="159"/>
      <c r="D77" s="26"/>
      <c r="E77" s="111">
        <v>5175</v>
      </c>
      <c r="F77" s="170" t="s">
        <v>42</v>
      </c>
      <c r="G77" s="112">
        <f>'Benchmarking Calculations'!G43</f>
        <v>88664</v>
      </c>
      <c r="H77" s="142">
        <v>102594</v>
      </c>
      <c r="I77" s="142">
        <v>93774</v>
      </c>
      <c r="J77" s="143"/>
      <c r="K77" s="143"/>
      <c r="L77" s="143"/>
      <c r="M77" s="143"/>
      <c r="N77" s="155" t="s">
        <v>172</v>
      </c>
    </row>
    <row r="78" spans="3:14" x14ac:dyDescent="0.35">
      <c r="C78" s="159"/>
      <c r="D78" s="26"/>
      <c r="E78" s="16"/>
      <c r="F78" s="80" t="s">
        <v>43</v>
      </c>
      <c r="G78" s="110">
        <f>'Benchmarking Calculations'!G44</f>
        <v>1834314</v>
      </c>
      <c r="H78" s="81">
        <f t="shared" ref="H78:M78" si="4">SUM(H65:H77)</f>
        <v>1815064</v>
      </c>
      <c r="I78" s="81">
        <f t="shared" si="4"/>
        <v>1884210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60" t="s">
        <v>29</v>
      </c>
    </row>
    <row r="79" spans="3:14" x14ac:dyDescent="0.35">
      <c r="C79" s="159"/>
      <c r="D79" s="26"/>
      <c r="E79" s="78">
        <v>5305</v>
      </c>
      <c r="F79" s="78" t="s">
        <v>44</v>
      </c>
      <c r="G79" s="58">
        <f>'Benchmarking Calculations'!G45</f>
        <v>0</v>
      </c>
      <c r="H79" s="142"/>
      <c r="I79" s="142"/>
      <c r="J79" s="143"/>
      <c r="K79" s="143"/>
      <c r="L79" s="143"/>
      <c r="M79" s="143"/>
      <c r="N79" s="155" t="s">
        <v>172</v>
      </c>
    </row>
    <row r="80" spans="3:14" x14ac:dyDescent="0.35">
      <c r="C80" s="159"/>
      <c r="D80" s="26"/>
      <c r="E80" s="78">
        <v>5310</v>
      </c>
      <c r="F80" s="78" t="s">
        <v>45</v>
      </c>
      <c r="G80" s="58">
        <f>'Benchmarking Calculations'!G46</f>
        <v>25152</v>
      </c>
      <c r="H80" s="142">
        <v>36356</v>
      </c>
      <c r="I80" s="142">
        <v>26088</v>
      </c>
      <c r="J80" s="143"/>
      <c r="K80" s="143"/>
      <c r="L80" s="143"/>
      <c r="M80" s="143"/>
      <c r="N80" s="155" t="s">
        <v>172</v>
      </c>
    </row>
    <row r="81" spans="3:14" x14ac:dyDescent="0.35">
      <c r="C81" s="159"/>
      <c r="D81" s="26"/>
      <c r="E81" s="78">
        <v>5315</v>
      </c>
      <c r="F81" s="78" t="s">
        <v>46</v>
      </c>
      <c r="G81" s="58">
        <f>'Benchmarking Calculations'!G47</f>
        <v>846403</v>
      </c>
      <c r="H81" s="142">
        <v>819158</v>
      </c>
      <c r="I81" s="142">
        <v>935784</v>
      </c>
      <c r="J81" s="143"/>
      <c r="K81" s="143"/>
      <c r="L81" s="143"/>
      <c r="M81" s="143"/>
      <c r="N81" s="155" t="s">
        <v>172</v>
      </c>
    </row>
    <row r="82" spans="3:14" x14ac:dyDescent="0.35">
      <c r="C82" s="159"/>
      <c r="D82" s="26"/>
      <c r="E82" s="78">
        <v>5320</v>
      </c>
      <c r="F82" s="78" t="s">
        <v>47</v>
      </c>
      <c r="G82" s="58">
        <f>'Benchmarking Calculations'!G48</f>
        <v>415753</v>
      </c>
      <c r="H82" s="142">
        <v>394095</v>
      </c>
      <c r="I82" s="142">
        <v>423913</v>
      </c>
      <c r="J82" s="143"/>
      <c r="K82" s="143"/>
      <c r="L82" s="143"/>
      <c r="M82" s="143"/>
      <c r="N82" s="155" t="s">
        <v>172</v>
      </c>
    </row>
    <row r="83" spans="3:14" x14ac:dyDescent="0.35">
      <c r="C83" s="159"/>
      <c r="D83" s="26"/>
      <c r="E83" s="78">
        <v>5325</v>
      </c>
      <c r="F83" s="78" t="s">
        <v>48</v>
      </c>
      <c r="G83" s="58">
        <f>'Benchmarking Calculations'!G49</f>
        <v>-119</v>
      </c>
      <c r="H83" s="142">
        <v>-9</v>
      </c>
      <c r="I83" s="142">
        <v>0</v>
      </c>
      <c r="J83" s="143"/>
      <c r="K83" s="143"/>
      <c r="L83" s="143"/>
      <c r="M83" s="143"/>
      <c r="N83" s="155" t="s">
        <v>172</v>
      </c>
    </row>
    <row r="84" spans="3:14" x14ac:dyDescent="0.35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/>
      <c r="I84" s="142"/>
      <c r="J84" s="143"/>
      <c r="K84" s="143"/>
      <c r="L84" s="143"/>
      <c r="M84" s="143"/>
      <c r="N84" s="155" t="s">
        <v>172</v>
      </c>
    </row>
    <row r="85" spans="3:14" x14ac:dyDescent="0.35">
      <c r="C85" s="159"/>
      <c r="D85" s="26"/>
      <c r="E85" s="111">
        <v>5340</v>
      </c>
      <c r="F85" s="111" t="s">
        <v>50</v>
      </c>
      <c r="G85" s="112">
        <f>'Benchmarking Calculations'!G51</f>
        <v>33235</v>
      </c>
      <c r="H85" s="142">
        <v>19703</v>
      </c>
      <c r="I85" s="142">
        <v>36388</v>
      </c>
      <c r="J85" s="143"/>
      <c r="K85" s="143"/>
      <c r="L85" s="143"/>
      <c r="M85" s="143"/>
      <c r="N85" s="155" t="s">
        <v>172</v>
      </c>
    </row>
    <row r="86" spans="3:14" x14ac:dyDescent="0.35">
      <c r="C86" s="159"/>
      <c r="D86" s="26"/>
      <c r="E86" s="16"/>
      <c r="F86" s="80" t="s">
        <v>51</v>
      </c>
      <c r="G86" s="110">
        <f>'Benchmarking Calculations'!G52</f>
        <v>1320424</v>
      </c>
      <c r="H86" s="81">
        <f t="shared" ref="H86:M86" si="5">SUM(H79:H85)</f>
        <v>1269303</v>
      </c>
      <c r="I86" s="81">
        <f t="shared" si="5"/>
        <v>1422173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60" t="s">
        <v>29</v>
      </c>
    </row>
    <row r="87" spans="3:14" x14ac:dyDescent="0.35">
      <c r="C87" s="159"/>
      <c r="D87" s="26"/>
      <c r="E87" s="78">
        <v>5405</v>
      </c>
      <c r="F87" s="78" t="s">
        <v>52</v>
      </c>
      <c r="G87" s="58">
        <f>'Benchmarking Calculations'!G53</f>
        <v>45165</v>
      </c>
      <c r="H87" s="142">
        <v>33746</v>
      </c>
      <c r="I87" s="142">
        <v>49043</v>
      </c>
      <c r="J87" s="143"/>
      <c r="K87" s="143"/>
      <c r="L87" s="143"/>
      <c r="M87" s="143"/>
      <c r="N87" s="155" t="s">
        <v>172</v>
      </c>
    </row>
    <row r="88" spans="3:14" x14ac:dyDescent="0.35">
      <c r="C88" s="159"/>
      <c r="D88" s="26"/>
      <c r="E88" s="78">
        <v>5410</v>
      </c>
      <c r="F88" s="78" t="s">
        <v>53</v>
      </c>
      <c r="G88" s="58">
        <f>'Benchmarking Calculations'!G54</f>
        <v>7848</v>
      </c>
      <c r="H88" s="142">
        <v>7950</v>
      </c>
      <c r="I88" s="142">
        <v>8798</v>
      </c>
      <c r="J88" s="143"/>
      <c r="K88" s="143"/>
      <c r="L88" s="143"/>
      <c r="M88" s="143"/>
      <c r="N88" s="155" t="s">
        <v>172</v>
      </c>
    </row>
    <row r="89" spans="3:14" x14ac:dyDescent="0.35">
      <c r="C89" s="159"/>
      <c r="D89" s="26"/>
      <c r="E89" s="78">
        <v>5420</v>
      </c>
      <c r="F89" s="78" t="s">
        <v>54</v>
      </c>
      <c r="G89" s="58">
        <f>'Benchmarking Calculations'!G55</f>
        <v>3928</v>
      </c>
      <c r="H89" s="142">
        <v>2590</v>
      </c>
      <c r="I89" s="142">
        <v>3570</v>
      </c>
      <c r="J89" s="143"/>
      <c r="K89" s="143"/>
      <c r="L89" s="143"/>
      <c r="M89" s="143"/>
      <c r="N89" s="155" t="s">
        <v>172</v>
      </c>
    </row>
    <row r="90" spans="3:14" x14ac:dyDescent="0.35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35">
      <c r="C91" s="159"/>
      <c r="D91" s="26"/>
      <c r="E91" s="16"/>
      <c r="F91" s="80" t="s">
        <v>56</v>
      </c>
      <c r="G91" s="110">
        <f>'Benchmarking Calculations'!G57</f>
        <v>56941</v>
      </c>
      <c r="H91" s="81">
        <f t="shared" ref="H91:M91" si="6">SUM(H87:H90)</f>
        <v>44286</v>
      </c>
      <c r="I91" s="81">
        <f t="shared" si="6"/>
        <v>61411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60" t="s">
        <v>29</v>
      </c>
    </row>
    <row r="92" spans="3:14" x14ac:dyDescent="0.35">
      <c r="C92" s="159"/>
      <c r="D92" s="26"/>
      <c r="E92" s="78">
        <v>5605</v>
      </c>
      <c r="F92" s="78" t="s">
        <v>57</v>
      </c>
      <c r="G92" s="58">
        <f>'Benchmarking Calculations'!G58</f>
        <v>373402</v>
      </c>
      <c r="H92" s="142">
        <v>412790</v>
      </c>
      <c r="I92" s="142">
        <v>398742</v>
      </c>
      <c r="J92" s="143"/>
      <c r="K92" s="143"/>
      <c r="L92" s="143"/>
      <c r="M92" s="143"/>
      <c r="N92" s="155" t="s">
        <v>172</v>
      </c>
    </row>
    <row r="93" spans="3:14" x14ac:dyDescent="0.35">
      <c r="C93" s="159"/>
      <c r="D93" s="26"/>
      <c r="E93" s="78">
        <v>5610</v>
      </c>
      <c r="F93" s="78" t="s">
        <v>58</v>
      </c>
      <c r="G93" s="58">
        <f>'Benchmarking Calculations'!G59</f>
        <v>477066</v>
      </c>
      <c r="H93" s="142">
        <v>611634</v>
      </c>
      <c r="I93" s="142">
        <v>591077</v>
      </c>
      <c r="J93" s="143"/>
      <c r="K93" s="143"/>
      <c r="L93" s="143"/>
      <c r="M93" s="143"/>
      <c r="N93" s="155" t="s">
        <v>172</v>
      </c>
    </row>
    <row r="94" spans="3:14" x14ac:dyDescent="0.35">
      <c r="C94" s="159"/>
      <c r="D94" s="26"/>
      <c r="E94" s="78">
        <v>5615</v>
      </c>
      <c r="F94" s="78" t="s">
        <v>59</v>
      </c>
      <c r="G94" s="58">
        <f>'Benchmarking Calculations'!G60</f>
        <v>371055</v>
      </c>
      <c r="H94" s="142">
        <v>360765</v>
      </c>
      <c r="I94" s="142">
        <v>381912</v>
      </c>
      <c r="J94" s="143"/>
      <c r="K94" s="143"/>
      <c r="L94" s="143"/>
      <c r="M94" s="143"/>
      <c r="N94" s="155" t="s">
        <v>172</v>
      </c>
    </row>
    <row r="95" spans="3:14" x14ac:dyDescent="0.35">
      <c r="C95" s="159"/>
      <c r="D95" s="26"/>
      <c r="E95" s="78">
        <v>5620</v>
      </c>
      <c r="F95" s="78" t="s">
        <v>60</v>
      </c>
      <c r="G95" s="58">
        <f>'Benchmarking Calculations'!G61</f>
        <v>0</v>
      </c>
      <c r="H95" s="142"/>
      <c r="I95" s="142"/>
      <c r="J95" s="143"/>
      <c r="K95" s="143"/>
      <c r="L95" s="143"/>
      <c r="M95" s="143"/>
      <c r="N95" s="155" t="s">
        <v>172</v>
      </c>
    </row>
    <row r="96" spans="3:14" x14ac:dyDescent="0.35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/>
      <c r="I96" s="142"/>
      <c r="J96" s="143"/>
      <c r="K96" s="143"/>
      <c r="L96" s="143"/>
      <c r="M96" s="143"/>
      <c r="N96" s="155" t="s">
        <v>172</v>
      </c>
    </row>
    <row r="97" spans="3:14" x14ac:dyDescent="0.35">
      <c r="C97" s="159"/>
      <c r="D97" s="26"/>
      <c r="E97" s="78">
        <v>5630</v>
      </c>
      <c r="F97" s="78" t="s">
        <v>62</v>
      </c>
      <c r="G97" s="58">
        <f>'Benchmarking Calculations'!G63</f>
        <v>129944</v>
      </c>
      <c r="H97" s="142">
        <v>162617</v>
      </c>
      <c r="I97" s="142">
        <v>145207</v>
      </c>
      <c r="J97" s="143"/>
      <c r="K97" s="143"/>
      <c r="L97" s="143"/>
      <c r="M97" s="143"/>
      <c r="N97" s="155" t="s">
        <v>172</v>
      </c>
    </row>
    <row r="98" spans="3:14" x14ac:dyDescent="0.35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/>
      <c r="I98" s="142"/>
      <c r="J98" s="143"/>
      <c r="K98" s="143"/>
      <c r="L98" s="143"/>
      <c r="M98" s="143"/>
      <c r="N98" s="155" t="s">
        <v>172</v>
      </c>
    </row>
    <row r="99" spans="3:14" x14ac:dyDescent="0.35">
      <c r="C99" s="159"/>
      <c r="D99" s="26"/>
      <c r="E99" s="78">
        <v>5645</v>
      </c>
      <c r="F99" s="78" t="s">
        <v>64</v>
      </c>
      <c r="G99" s="58">
        <f>'Benchmarking Calculations'!G65</f>
        <v>84342</v>
      </c>
      <c r="H99" s="142">
        <v>87883</v>
      </c>
      <c r="I99" s="142">
        <v>103766</v>
      </c>
      <c r="J99" s="143"/>
      <c r="K99" s="143"/>
      <c r="L99" s="143"/>
      <c r="M99" s="143"/>
      <c r="N99" s="155" t="s">
        <v>172</v>
      </c>
    </row>
    <row r="100" spans="3:14" x14ac:dyDescent="0.35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/>
      <c r="I100" s="142"/>
      <c r="J100" s="143"/>
      <c r="K100" s="143"/>
      <c r="L100" s="143"/>
      <c r="M100" s="143"/>
      <c r="N100" s="155" t="s">
        <v>172</v>
      </c>
    </row>
    <row r="101" spans="3:14" x14ac:dyDescent="0.35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5" t="s">
        <v>172</v>
      </c>
    </row>
    <row r="102" spans="3:14" x14ac:dyDescent="0.35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5" t="s">
        <v>172</v>
      </c>
    </row>
    <row r="103" spans="3:14" x14ac:dyDescent="0.35">
      <c r="C103" s="159"/>
      <c r="D103" s="26"/>
      <c r="E103" s="78">
        <v>5655</v>
      </c>
      <c r="F103" s="78" t="s">
        <v>68</v>
      </c>
      <c r="G103" s="58">
        <f>'Benchmarking Calculations'!G69</f>
        <v>63752</v>
      </c>
      <c r="H103" s="142">
        <v>192107</v>
      </c>
      <c r="I103" s="142">
        <v>146402</v>
      </c>
      <c r="J103" s="143"/>
      <c r="K103" s="143"/>
      <c r="L103" s="143"/>
      <c r="M103" s="143"/>
      <c r="N103" s="155" t="s">
        <v>172</v>
      </c>
    </row>
    <row r="104" spans="3:14" x14ac:dyDescent="0.35">
      <c r="C104" s="159"/>
      <c r="D104" s="26"/>
      <c r="E104" s="78">
        <v>5665</v>
      </c>
      <c r="F104" s="78" t="s">
        <v>69</v>
      </c>
      <c r="G104" s="58">
        <f>'Benchmarking Calculations'!G70</f>
        <v>130332</v>
      </c>
      <c r="H104" s="142">
        <v>133554</v>
      </c>
      <c r="I104" s="142">
        <v>132593</v>
      </c>
      <c r="J104" s="143"/>
      <c r="K104" s="143"/>
      <c r="L104" s="143"/>
      <c r="M104" s="143"/>
      <c r="N104" s="155" t="s">
        <v>172</v>
      </c>
    </row>
    <row r="105" spans="3:14" x14ac:dyDescent="0.35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/>
      <c r="I105" s="142"/>
      <c r="J105" s="143"/>
      <c r="K105" s="143"/>
      <c r="L105" s="143"/>
      <c r="M105" s="143"/>
      <c r="N105" s="155" t="s">
        <v>172</v>
      </c>
    </row>
    <row r="106" spans="3:14" x14ac:dyDescent="0.35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5" t="s">
        <v>172</v>
      </c>
    </row>
    <row r="107" spans="3:14" x14ac:dyDescent="0.35">
      <c r="C107" s="159"/>
      <c r="D107" s="26"/>
      <c r="E107" s="78">
        <v>5675</v>
      </c>
      <c r="F107" s="78" t="s">
        <v>72</v>
      </c>
      <c r="G107" s="58">
        <f>'Benchmarking Calculations'!G73</f>
        <v>0</v>
      </c>
      <c r="H107" s="142"/>
      <c r="I107" s="142"/>
      <c r="J107" s="143"/>
      <c r="K107" s="143"/>
      <c r="L107" s="143"/>
      <c r="M107" s="143"/>
      <c r="N107" s="155" t="s">
        <v>172</v>
      </c>
    </row>
    <row r="108" spans="3:14" x14ac:dyDescent="0.35">
      <c r="C108" s="159"/>
      <c r="D108" s="26"/>
      <c r="E108" s="111">
        <v>5680</v>
      </c>
      <c r="F108" s="111" t="s">
        <v>73</v>
      </c>
      <c r="G108" s="112">
        <f>'Benchmarking Calculations'!G74</f>
        <v>9968</v>
      </c>
      <c r="H108" s="142">
        <v>10406</v>
      </c>
      <c r="I108" s="142">
        <v>11009</v>
      </c>
      <c r="J108" s="143"/>
      <c r="K108" s="143"/>
      <c r="L108" s="143"/>
      <c r="M108" s="143"/>
      <c r="N108" s="155" t="s">
        <v>172</v>
      </c>
    </row>
    <row r="109" spans="3:14" x14ac:dyDescent="0.35">
      <c r="C109" s="159"/>
      <c r="D109" s="26"/>
      <c r="E109" s="13"/>
      <c r="F109" s="80" t="s">
        <v>74</v>
      </c>
      <c r="G109" s="110">
        <f>'Benchmarking Calculations'!G75</f>
        <v>1639861</v>
      </c>
      <c r="H109" s="81">
        <f t="shared" ref="H109:M109" si="7">SUM(H92:H108)</f>
        <v>1971756</v>
      </c>
      <c r="I109" s="81">
        <f t="shared" si="7"/>
        <v>1910708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60" t="s">
        <v>29</v>
      </c>
    </row>
    <row r="110" spans="3:14" x14ac:dyDescent="0.35">
      <c r="C110" s="159"/>
      <c r="D110" s="26"/>
      <c r="E110" s="78">
        <v>5635</v>
      </c>
      <c r="F110" s="78" t="s">
        <v>75</v>
      </c>
      <c r="G110" s="58">
        <f>'Benchmarking Calculations'!G76</f>
        <v>0</v>
      </c>
      <c r="H110" s="142"/>
      <c r="I110" s="142"/>
      <c r="J110" s="143"/>
      <c r="K110" s="143"/>
      <c r="L110" s="143"/>
      <c r="M110" s="143"/>
      <c r="N110" s="155" t="s">
        <v>172</v>
      </c>
    </row>
    <row r="111" spans="3:14" x14ac:dyDescent="0.35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35">
      <c r="C112" s="159"/>
      <c r="D112" s="26"/>
      <c r="E112" s="26"/>
      <c r="F112" s="80" t="s">
        <v>77</v>
      </c>
      <c r="G112" s="110">
        <f>'Benchmarking Calculations'!G78</f>
        <v>0</v>
      </c>
      <c r="H112" s="81">
        <f t="shared" ref="H112:M112" si="8">H110+H111</f>
        <v>0</v>
      </c>
      <c r="I112" s="81">
        <f t="shared" si="8"/>
        <v>0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60" t="s">
        <v>29</v>
      </c>
    </row>
    <row r="113" spans="3:14" x14ac:dyDescent="0.35">
      <c r="C113" s="159"/>
      <c r="D113" s="26"/>
      <c r="E113" s="113">
        <v>5515</v>
      </c>
      <c r="F113" s="111" t="s">
        <v>78</v>
      </c>
      <c r="G113" s="112">
        <f>'Benchmarking Calculations'!G79</f>
        <v>1050</v>
      </c>
      <c r="H113" s="142">
        <v>6575</v>
      </c>
      <c r="I113" s="142">
        <v>1020</v>
      </c>
      <c r="J113" s="143"/>
      <c r="K113" s="143"/>
      <c r="L113" s="143"/>
      <c r="M113" s="143"/>
      <c r="N113" s="155" t="s">
        <v>172</v>
      </c>
    </row>
    <row r="114" spans="3:14" x14ac:dyDescent="0.35">
      <c r="C114" s="159"/>
      <c r="D114" s="77"/>
      <c r="E114" s="16"/>
      <c r="F114" s="80" t="s">
        <v>79</v>
      </c>
      <c r="G114" s="110">
        <f>'Benchmarking Calculations'!G80</f>
        <v>1050</v>
      </c>
      <c r="H114" s="81">
        <f t="shared" ref="H114:M114" si="9">H113</f>
        <v>6575</v>
      </c>
      <c r="I114" s="81">
        <f t="shared" si="9"/>
        <v>1020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60" t="s">
        <v>29</v>
      </c>
    </row>
    <row r="115" spans="3:14" x14ac:dyDescent="0.35">
      <c r="C115" s="159"/>
      <c r="D115" s="77"/>
      <c r="E115" s="173" t="s">
        <v>199</v>
      </c>
      <c r="F115" s="80" t="s">
        <v>80</v>
      </c>
      <c r="G115" s="58">
        <f>'Benchmarking Calculations'!G81</f>
        <v>6172834</v>
      </c>
      <c r="H115" s="81">
        <f t="shared" ref="H115:M115" si="10">H114+H112+H109+H91+H86+H78+H64</f>
        <v>6568601</v>
      </c>
      <c r="I115" s="81">
        <f t="shared" si="10"/>
        <v>6788015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60" t="s">
        <v>29</v>
      </c>
    </row>
    <row r="116" spans="3:14" x14ac:dyDescent="0.35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35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35">
      <c r="C118" s="159"/>
      <c r="D118" s="84"/>
      <c r="E118" s="84"/>
      <c r="F118" s="59">
        <v>5014</v>
      </c>
      <c r="G118" s="58">
        <f t="shared" ref="G118:M119" si="11">G47</f>
        <v>0</v>
      </c>
      <c r="H118" s="58">
        <f t="shared" si="11"/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si="11"/>
        <v>0</v>
      </c>
      <c r="N118" s="160" t="s">
        <v>29</v>
      </c>
    </row>
    <row r="119" spans="3:14" x14ac:dyDescent="0.35">
      <c r="C119" s="159"/>
      <c r="D119" s="84"/>
      <c r="F119" s="59">
        <v>5015</v>
      </c>
      <c r="G119" s="58">
        <f t="shared" si="11"/>
        <v>0</v>
      </c>
      <c r="H119" s="58">
        <f t="shared" si="11"/>
        <v>0</v>
      </c>
      <c r="I119" s="58">
        <f t="shared" si="11"/>
        <v>0</v>
      </c>
      <c r="J119" s="58">
        <f t="shared" si="11"/>
        <v>0</v>
      </c>
      <c r="K119" s="58">
        <f t="shared" si="11"/>
        <v>0</v>
      </c>
      <c r="L119" s="58">
        <f t="shared" si="11"/>
        <v>0</v>
      </c>
      <c r="M119" s="58">
        <f t="shared" si="11"/>
        <v>0</v>
      </c>
      <c r="N119" s="160" t="s">
        <v>29</v>
      </c>
    </row>
    <row r="120" spans="3:14" x14ac:dyDescent="0.35">
      <c r="C120" s="159"/>
      <c r="D120" s="84"/>
      <c r="F120" s="59">
        <v>5112</v>
      </c>
      <c r="G120" s="58">
        <f t="shared" ref="G120:M120" si="12">G67</f>
        <v>0</v>
      </c>
      <c r="H120" s="58">
        <f t="shared" si="12"/>
        <v>0</v>
      </c>
      <c r="I120" s="58">
        <f t="shared" si="12"/>
        <v>0</v>
      </c>
      <c r="J120" s="58">
        <f t="shared" si="12"/>
        <v>0</v>
      </c>
      <c r="K120" s="58">
        <f t="shared" si="12"/>
        <v>0</v>
      </c>
      <c r="L120" s="58">
        <f t="shared" si="12"/>
        <v>0</v>
      </c>
      <c r="M120" s="58">
        <f t="shared" si="12"/>
        <v>0</v>
      </c>
      <c r="N120" s="160" t="s">
        <v>29</v>
      </c>
    </row>
    <row r="121" spans="3:14" x14ac:dyDescent="0.35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 t="shared" ref="H121:M121" si="13">H47+H48+H67</f>
        <v>0</v>
      </c>
      <c r="I121" s="110">
        <f t="shared" si="13"/>
        <v>0</v>
      </c>
      <c r="J121" s="110">
        <f t="shared" si="13"/>
        <v>0</v>
      </c>
      <c r="K121" s="110">
        <f t="shared" si="13"/>
        <v>0</v>
      </c>
      <c r="L121" s="110">
        <f t="shared" si="13"/>
        <v>0</v>
      </c>
      <c r="M121" s="110">
        <f t="shared" si="13"/>
        <v>0</v>
      </c>
      <c r="N121" s="174" t="s">
        <v>29</v>
      </c>
    </row>
    <row r="122" spans="3:14" x14ac:dyDescent="0.35">
      <c r="C122" s="159"/>
      <c r="D122" s="77"/>
      <c r="E122" s="175" t="s">
        <v>201</v>
      </c>
      <c r="F122" s="80" t="s">
        <v>83</v>
      </c>
      <c r="G122" s="110">
        <f>'Benchmarking Calculations'!G88</f>
        <v>0</v>
      </c>
      <c r="H122" s="176"/>
      <c r="I122" s="176"/>
      <c r="J122" s="176"/>
      <c r="K122" s="176"/>
      <c r="L122" s="176"/>
      <c r="M122" s="176"/>
      <c r="N122" s="177" t="s">
        <v>172</v>
      </c>
    </row>
    <row r="123" spans="3:14" ht="12.75" thickBot="1" x14ac:dyDescent="0.4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35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H30" sqref="H30"/>
    </sheetView>
  </sheetViews>
  <sheetFormatPr defaultColWidth="9.140625" defaultRowHeight="12.4" outlineLevelRow="1" x14ac:dyDescent="0.35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3.25" thickBot="1" x14ac:dyDescent="0.7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19.899999999999999" thickTop="1" thickBot="1" x14ac:dyDescent="0.7">
      <c r="A2" s="1"/>
      <c r="B2" s="100"/>
      <c r="C2" s="3"/>
      <c r="D2" s="3"/>
      <c r="E2" s="10"/>
      <c r="R2" s="182"/>
      <c r="S2" s="182"/>
    </row>
    <row r="3" spans="1:94" ht="48.75" customHeight="1" thickBot="1" x14ac:dyDescent="0.4">
      <c r="B3" s="228" t="s">
        <v>1</v>
      </c>
      <c r="C3" s="228"/>
      <c r="D3" s="101"/>
      <c r="E3" s="102" t="str">
        <f>'Model Inputs'!F5</f>
        <v>Welland Hydro-Electric System Corp.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8.75" x14ac:dyDescent="0.5">
      <c r="E4" s="5"/>
      <c r="F4" s="229"/>
      <c r="G4" s="230"/>
      <c r="H4" s="231" t="s">
        <v>2</v>
      </c>
      <c r="I4" s="232"/>
      <c r="J4" s="232"/>
      <c r="K4" s="232"/>
      <c r="L4" s="232"/>
      <c r="M4" s="232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7.15" x14ac:dyDescent="0.35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35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2.75" thickBot="1" x14ac:dyDescent="0.4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35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35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35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238998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35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150533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35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16691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35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35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149999999999999" hidden="1" outlineLevel="1" x14ac:dyDescent="0.6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16981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35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129204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35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163804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35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44001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35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35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210588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4" hidden="1" outlineLevel="1" x14ac:dyDescent="0.4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35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5011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35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223098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35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35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35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97365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35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35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23970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35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35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1320244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35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83978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35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15656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35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35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59280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35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188644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35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475431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35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322557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35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174760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35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3195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35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187635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35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143005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35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91509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35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88664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35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1834314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35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35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25152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35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846403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35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415753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35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-119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35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35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33235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35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1320424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35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45165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35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7848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35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3928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35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35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56941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35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373402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35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477066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35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371055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35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0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35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35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129944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35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35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84342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35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35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35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35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63752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35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130332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35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35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35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35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9968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35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1639861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35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0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35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35">
      <c r="A78" s="3"/>
      <c r="B78" s="10">
        <v>70</v>
      </c>
      <c r="D78" s="19"/>
      <c r="E78" s="17" t="s">
        <v>77</v>
      </c>
      <c r="F78" s="105"/>
      <c r="G78" s="105">
        <f t="shared" si="2"/>
        <v>0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35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1050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35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1050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35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6172834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35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35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35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35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35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35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2.75" thickBot="1" x14ac:dyDescent="0.4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2.75" thickBot="1" x14ac:dyDescent="0.4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6172834</v>
      </c>
      <c r="H89" s="186">
        <f>'Model Inputs'!H31</f>
        <v>6568601</v>
      </c>
      <c r="I89" s="187">
        <f>'Model Inputs'!I31</f>
        <v>6788015</v>
      </c>
      <c r="J89" s="187">
        <f>'Model Inputs'!J31</f>
        <v>0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35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2.75" thickBot="1" x14ac:dyDescent="0.4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2.75" thickBot="1" x14ac:dyDescent="0.4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2506400</v>
      </c>
      <c r="H92" s="186">
        <f>'Model Inputs'!H9</f>
        <v>3128401</v>
      </c>
      <c r="I92" s="187">
        <f>'Model Inputs'!I9</f>
        <v>2303219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2.75" thickBot="1" x14ac:dyDescent="0.4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35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2.75" thickBot="1" x14ac:dyDescent="0.4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2.75" thickBot="1" x14ac:dyDescent="0.4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22666</v>
      </c>
      <c r="H96" s="186">
        <f>'Model Inputs'!H13</f>
        <v>22852</v>
      </c>
      <c r="I96" s="187">
        <f>'Model Inputs'!I13</f>
        <v>23060</v>
      </c>
      <c r="J96" s="187">
        <f>'Model Inputs'!J13</f>
        <v>0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2.75" thickBot="1" x14ac:dyDescent="0.4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352083285</v>
      </c>
      <c r="H97" s="186">
        <f>'Model Inputs'!H14</f>
        <v>360086954</v>
      </c>
      <c r="I97" s="187">
        <f>'Model Inputs'!I14</f>
        <v>343852887</v>
      </c>
      <c r="J97" s="187">
        <f>'Model Inputs'!J14</f>
        <v>0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2.75" thickBot="1" x14ac:dyDescent="0.4">
      <c r="A98" s="3"/>
      <c r="B98" s="10">
        <v>90</v>
      </c>
      <c r="E98" s="3" t="s">
        <v>91</v>
      </c>
      <c r="F98" s="104"/>
      <c r="G98" s="104">
        <f>HLOOKUP($E$3,$P$3:$CI$269,O98,FALSE)</f>
        <v>73422</v>
      </c>
      <c r="H98" s="186">
        <f>'Model Inputs'!H15</f>
        <v>75091.05221109261</v>
      </c>
      <c r="I98" s="187">
        <f>'Model Inputs'!I15</f>
        <v>71705.666655870926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2.75" thickBot="1" x14ac:dyDescent="0.4">
      <c r="A99" s="3"/>
      <c r="B99" s="10">
        <v>91</v>
      </c>
      <c r="E99" s="12" t="s">
        <v>92</v>
      </c>
      <c r="F99" s="104"/>
      <c r="G99" s="104">
        <f>HLOOKUP($E$3,$P$3:$CI$269,O99,FALSE)</f>
        <v>480</v>
      </c>
      <c r="H99" s="186">
        <f>'Model Inputs'!H16</f>
        <v>480</v>
      </c>
      <c r="I99" s="187">
        <f>'Model Inputs'!I16</f>
        <v>480</v>
      </c>
      <c r="J99" s="187">
        <f>'Model Inputs'!J16</f>
        <v>0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35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35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2.75" thickBot="1" x14ac:dyDescent="0.4">
      <c r="A102" s="227" t="s">
        <v>93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2.75" thickTop="1" x14ac:dyDescent="0.35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35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35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35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35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6172834</v>
      </c>
      <c r="H107" s="29">
        <f>H89</f>
        <v>6568601</v>
      </c>
      <c r="I107" s="29">
        <f>I89</f>
        <v>6788015</v>
      </c>
      <c r="J107" s="29">
        <f>J89</f>
        <v>0</v>
      </c>
      <c r="K107" s="29">
        <f>K89</f>
        <v>0</v>
      </c>
      <c r="L107" s="29">
        <f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35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2.75" thickBot="1" x14ac:dyDescent="0.4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2.75" thickBot="1" x14ac:dyDescent="0.4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4">HLOOKUP($E$3,$P$3:$CI$269,O110,FALSE)</f>
        <v>6.5054666666666677E-2</v>
      </c>
      <c r="H110" s="201">
        <f>'Model Inputs'!H22</f>
        <v>5.91E-2</v>
      </c>
      <c r="I110" s="202">
        <f>'Model Inputs'!I22</f>
        <v>5.67E-2</v>
      </c>
      <c r="J110" s="202">
        <f>'Model Inputs'!J22</f>
        <v>0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2.75" thickBot="1" x14ac:dyDescent="0.4">
      <c r="A111" s="3"/>
      <c r="B111" s="10">
        <v>100</v>
      </c>
      <c r="C111" s="3"/>
      <c r="D111" s="3"/>
      <c r="E111" s="3" t="s">
        <v>98</v>
      </c>
      <c r="F111" s="30"/>
      <c r="G111" s="30">
        <f t="shared" si="4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2.75" thickBot="1" x14ac:dyDescent="0.4">
      <c r="A112" s="3"/>
      <c r="B112" s="10">
        <v>101</v>
      </c>
      <c r="C112" s="3"/>
      <c r="D112" s="3"/>
      <c r="E112" s="3" t="s">
        <v>99</v>
      </c>
      <c r="F112" s="33"/>
      <c r="G112" s="33">
        <f t="shared" si="4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168.33656781093197</v>
      </c>
      <c r="K112" s="205">
        <f>J112*EXP('Model Inputs'!K21)</f>
        <v>168.33656781093197</v>
      </c>
      <c r="L112" s="205">
        <f>K112*EXP('Model Inputs'!L21)</f>
        <v>168.33656781093197</v>
      </c>
      <c r="M112" s="206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2.75" thickBot="1" x14ac:dyDescent="0.4">
      <c r="A113" s="3"/>
      <c r="B113" s="10">
        <v>102</v>
      </c>
      <c r="C113" s="3"/>
      <c r="D113" s="3"/>
      <c r="E113" s="3" t="s">
        <v>100</v>
      </c>
      <c r="F113" s="29"/>
      <c r="G113" s="29">
        <f t="shared" si="4"/>
        <v>17.928358347013472</v>
      </c>
      <c r="H113" s="29">
        <f t="shared" ref="H113:M113" si="5">G112*H110+H111*H112</f>
        <v>17.246235613465267</v>
      </c>
      <c r="I113" s="29">
        <f t="shared" si="5"/>
        <v>17.122228536848063</v>
      </c>
      <c r="J113" s="29">
        <f t="shared" si="5"/>
        <v>7.7266484625217782</v>
      </c>
      <c r="K113" s="29">
        <f t="shared" si="5"/>
        <v>7.7266484625217782</v>
      </c>
      <c r="L113" s="29">
        <f t="shared" si="5"/>
        <v>7.7266484625217782</v>
      </c>
      <c r="M113" s="29">
        <f t="shared" si="5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35">
      <c r="A114" s="3"/>
      <c r="B114" s="10">
        <v>103</v>
      </c>
      <c r="C114" s="3"/>
      <c r="D114" s="3"/>
      <c r="E114" s="3" t="s">
        <v>101</v>
      </c>
      <c r="F114" s="8"/>
      <c r="G114" s="8">
        <f t="shared" si="4"/>
        <v>2506400</v>
      </c>
      <c r="H114" s="207">
        <f t="shared" ref="H114:M115" si="6">H92</f>
        <v>3128401</v>
      </c>
      <c r="I114" s="208">
        <f t="shared" si="6"/>
        <v>2303219</v>
      </c>
      <c r="J114" s="208">
        <f t="shared" si="6"/>
        <v>0</v>
      </c>
      <c r="K114" s="208">
        <f t="shared" si="6"/>
        <v>0</v>
      </c>
      <c r="L114" s="208">
        <f t="shared" si="6"/>
        <v>0</v>
      </c>
      <c r="M114" s="209">
        <f t="shared" si="6"/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2.75" thickBot="1" x14ac:dyDescent="0.4">
      <c r="A115" s="3"/>
      <c r="B115" s="10">
        <v>104</v>
      </c>
      <c r="C115" s="3"/>
      <c r="D115" s="3"/>
      <c r="E115" s="3" t="s">
        <v>102</v>
      </c>
      <c r="F115" s="8"/>
      <c r="G115" s="8">
        <f t="shared" si="4"/>
        <v>0</v>
      </c>
      <c r="H115" s="210">
        <f t="shared" si="6"/>
        <v>0</v>
      </c>
      <c r="I115" s="211">
        <f t="shared" si="6"/>
        <v>0</v>
      </c>
      <c r="J115" s="211">
        <f t="shared" si="6"/>
        <v>0</v>
      </c>
      <c r="K115" s="211">
        <f t="shared" si="6"/>
        <v>0</v>
      </c>
      <c r="L115" s="211">
        <f t="shared" si="6"/>
        <v>0</v>
      </c>
      <c r="M115" s="212">
        <f t="shared" si="6"/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35">
      <c r="A116" s="3"/>
      <c r="B116" s="10">
        <v>105</v>
      </c>
      <c r="C116" s="3"/>
      <c r="D116" s="3"/>
      <c r="E116" s="3" t="s">
        <v>103</v>
      </c>
      <c r="F116" s="8"/>
      <c r="G116" s="8">
        <f t="shared" si="4"/>
        <v>15365.53801531779</v>
      </c>
      <c r="H116" s="8">
        <f t="shared" ref="H116:M116" si="7">(H114-H115)/H112</f>
        <v>18879.125641715011</v>
      </c>
      <c r="I116" s="8">
        <f t="shared" si="7"/>
        <v>13682.226208787099</v>
      </c>
      <c r="J116" s="8">
        <f t="shared" si="7"/>
        <v>0</v>
      </c>
      <c r="K116" s="8">
        <f t="shared" si="7"/>
        <v>0</v>
      </c>
      <c r="L116" s="8">
        <f t="shared" si="7"/>
        <v>0</v>
      </c>
      <c r="M116" s="8">
        <f t="shared" si="7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35">
      <c r="A117" s="3"/>
      <c r="B117" s="10">
        <v>106</v>
      </c>
      <c r="C117" s="3"/>
      <c r="D117" s="3"/>
      <c r="E117" s="3" t="s">
        <v>104</v>
      </c>
      <c r="F117" s="25"/>
      <c r="G117" s="25">
        <f t="shared" si="4"/>
        <v>12698.100255429041</v>
      </c>
      <c r="H117" s="25">
        <f t="shared" ref="H117:M117" si="8">H111*G118</f>
        <v>12820.535648607936</v>
      </c>
      <c r="I117" s="25">
        <f t="shared" si="8"/>
        <v>13098.624929291551</v>
      </c>
      <c r="J117" s="25">
        <f t="shared" si="8"/>
        <v>13125.412228020397</v>
      </c>
      <c r="K117" s="25">
        <f t="shared" si="8"/>
        <v>12522.955806754262</v>
      </c>
      <c r="L117" s="25">
        <f t="shared" si="8"/>
        <v>11948.152135224242</v>
      </c>
      <c r="M117" s="25">
        <f t="shared" si="8"/>
        <v>11399.731952217449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35">
      <c r="A118" s="3"/>
      <c r="B118" s="10">
        <v>107</v>
      </c>
      <c r="C118" s="3"/>
      <c r="D118" s="3"/>
      <c r="E118" s="3" t="s">
        <v>105</v>
      </c>
      <c r="F118" s="25"/>
      <c r="G118" s="25">
        <f t="shared" si="4"/>
        <v>279314.50214832101</v>
      </c>
      <c r="H118" s="25">
        <f t="shared" ref="H118:M118" si="9">G118+H116-H117</f>
        <v>285373.09214142809</v>
      </c>
      <c r="I118" s="25">
        <f t="shared" si="9"/>
        <v>285956.69342092366</v>
      </c>
      <c r="J118" s="25">
        <f t="shared" si="9"/>
        <v>272831.28119290329</v>
      </c>
      <c r="K118" s="25">
        <f t="shared" si="9"/>
        <v>260308.32538614902</v>
      </c>
      <c r="L118" s="25">
        <f t="shared" si="9"/>
        <v>248360.1732509248</v>
      </c>
      <c r="M118" s="25">
        <f t="shared" si="9"/>
        <v>236960.44129870736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35">
      <c r="A119" s="3"/>
      <c r="B119" s="10">
        <v>108</v>
      </c>
      <c r="C119" s="3"/>
      <c r="D119" s="3"/>
      <c r="E119" s="3" t="s">
        <v>106</v>
      </c>
      <c r="F119" s="25"/>
      <c r="G119" s="25">
        <f t="shared" si="4"/>
        <v>5007650.4860327635</v>
      </c>
      <c r="H119" s="25">
        <f t="shared" ref="H119:M119" si="10">H113*H118</f>
        <v>4921611.584814202</v>
      </c>
      <c r="I119" s="25">
        <f t="shared" si="10"/>
        <v>4896215.856394452</v>
      </c>
      <c r="J119" s="25">
        <f t="shared" si="10"/>
        <v>2108071.3993569929</v>
      </c>
      <c r="K119" s="25">
        <f t="shared" si="10"/>
        <v>2011310.9221265072</v>
      </c>
      <c r="L119" s="25">
        <f t="shared" si="10"/>
        <v>1918991.7508009006</v>
      </c>
      <c r="M119" s="25">
        <f t="shared" si="10"/>
        <v>1830910.0294391392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35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3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11180484.486032763</v>
      </c>
      <c r="H121" s="25">
        <f t="shared" ref="H121:M121" si="11">H107+H119</f>
        <v>11490212.584814202</v>
      </c>
      <c r="I121" s="25">
        <f t="shared" si="11"/>
        <v>11684230.856394451</v>
      </c>
      <c r="J121" s="25">
        <f t="shared" si="11"/>
        <v>2108071.3993569929</v>
      </c>
      <c r="K121" s="25">
        <f t="shared" si="11"/>
        <v>2011310.9221265072</v>
      </c>
      <c r="L121" s="25">
        <f t="shared" si="11"/>
        <v>1918991.7508009006</v>
      </c>
      <c r="M121" s="25">
        <f t="shared" si="11"/>
        <v>1830910.0294391392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35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2.75" thickBot="1" x14ac:dyDescent="0.4">
      <c r="A123" s="227" t="s">
        <v>108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2.75" thickTop="1" x14ac:dyDescent="0.35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35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35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35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35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22666</v>
      </c>
      <c r="H128" s="8">
        <f t="shared" ref="H128:K130" si="12">H96</f>
        <v>22852</v>
      </c>
      <c r="I128" s="8">
        <f t="shared" si="12"/>
        <v>23060</v>
      </c>
      <c r="J128" s="8">
        <f t="shared" si="12"/>
        <v>0</v>
      </c>
      <c r="K128" s="8">
        <f t="shared" si="12"/>
        <v>0</v>
      </c>
      <c r="L128" s="8">
        <f t="shared" ref="L128:M130" si="13">L96</f>
        <v>0</v>
      </c>
      <c r="M128" s="8">
        <f t="shared" si="13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3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352083285</v>
      </c>
      <c r="H129" s="39">
        <f t="shared" si="12"/>
        <v>360086954</v>
      </c>
      <c r="I129" s="39">
        <f t="shared" si="12"/>
        <v>343852887</v>
      </c>
      <c r="J129" s="39">
        <f t="shared" si="12"/>
        <v>0</v>
      </c>
      <c r="K129" s="39">
        <f t="shared" si="12"/>
        <v>0</v>
      </c>
      <c r="L129" s="39">
        <f t="shared" si="13"/>
        <v>0</v>
      </c>
      <c r="M129" s="39">
        <f t="shared" si="1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35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73422</v>
      </c>
      <c r="H130" s="8">
        <f t="shared" si="12"/>
        <v>75091.05221109261</v>
      </c>
      <c r="I130" s="8">
        <f t="shared" si="12"/>
        <v>71705.666655870926</v>
      </c>
      <c r="J130" s="8">
        <f t="shared" si="12"/>
        <v>0</v>
      </c>
      <c r="K130" s="8">
        <f t="shared" si="12"/>
        <v>0</v>
      </c>
      <c r="L130" s="8">
        <f t="shared" si="13"/>
        <v>0</v>
      </c>
      <c r="M130" s="8">
        <f t="shared" si="1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35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104372</v>
      </c>
      <c r="H131" s="8">
        <f t="shared" ref="H131:M131" si="14">MAX(G131,H130)</f>
        <v>104372</v>
      </c>
      <c r="I131" s="8">
        <f t="shared" si="14"/>
        <v>104372</v>
      </c>
      <c r="J131" s="8">
        <f t="shared" si="14"/>
        <v>104372</v>
      </c>
      <c r="K131" s="8">
        <f t="shared" si="14"/>
        <v>104372</v>
      </c>
      <c r="L131" s="8">
        <f t="shared" si="14"/>
        <v>104372</v>
      </c>
      <c r="M131" s="8">
        <f t="shared" si="14"/>
        <v>104372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35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2.75" thickBot="1" x14ac:dyDescent="0.4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2.75" thickBot="1" x14ac:dyDescent="0.4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118.91114870827467</v>
      </c>
      <c r="K134" s="214">
        <f>J134*EXP('Model Inputs'!K21)</f>
        <v>118.91114870827467</v>
      </c>
      <c r="L134" s="214">
        <f>K134*EXP('Model Inputs'!L21)</f>
        <v>118.91114870827467</v>
      </c>
      <c r="M134" s="215">
        <f>L134*EXP('Model Inputs'!M21)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2.75" thickBot="1" x14ac:dyDescent="0.4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1013.3851655047079</v>
      </c>
      <c r="K135" s="217">
        <f>J135*EXP('Model Inputs'!K20)</f>
        <v>1013.3851655047079</v>
      </c>
      <c r="L135" s="217">
        <f>K135*EXP('Model Inputs'!L20)</f>
        <v>1013.3851655047079</v>
      </c>
      <c r="M135" s="218">
        <f>L135*EXP('Model Inputs'!M20)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35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 t="shared" ref="H136:M136" si="15">LN(H134/G134)*0.3+LN(H135/G135)*0.7</f>
        <v>2.2671003495575846E-2</v>
      </c>
      <c r="I136" s="40">
        <f t="shared" si="15"/>
        <v>2.2671003495575846E-2</v>
      </c>
      <c r="J136" s="40">
        <f t="shared" si="15"/>
        <v>0</v>
      </c>
      <c r="K136" s="40">
        <f t="shared" si="15"/>
        <v>0</v>
      </c>
      <c r="L136" s="40">
        <f t="shared" si="15"/>
        <v>0</v>
      </c>
      <c r="M136" s="40">
        <f t="shared" si="1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35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118.73891565216782</v>
      </c>
      <c r="H137" s="29">
        <f t="shared" ref="H137:M137" si="16">G137*EXP(H136)</f>
        <v>121.46159231554574</v>
      </c>
      <c r="I137" s="29">
        <f t="shared" si="16"/>
        <v>124.24669980181427</v>
      </c>
      <c r="J137" s="29">
        <f t="shared" si="16"/>
        <v>124.24669980181427</v>
      </c>
      <c r="K137" s="29">
        <f t="shared" si="16"/>
        <v>124.24669980181427</v>
      </c>
      <c r="L137" s="29">
        <f t="shared" si="16"/>
        <v>124.24669980181427</v>
      </c>
      <c r="M137" s="29">
        <f t="shared" si="16"/>
        <v>124.24669980181427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35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35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M139" si="17">H113</f>
        <v>17.246235613465267</v>
      </c>
      <c r="I139" s="29">
        <f t="shared" si="17"/>
        <v>17.122228536848063</v>
      </c>
      <c r="J139" s="29">
        <f t="shared" si="17"/>
        <v>7.7266484625217782</v>
      </c>
      <c r="K139" s="29">
        <f t="shared" si="17"/>
        <v>7.7266484625217782</v>
      </c>
      <c r="L139" s="29">
        <f t="shared" si="17"/>
        <v>7.7266484625217782</v>
      </c>
      <c r="M139" s="29">
        <f t="shared" si="17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35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35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35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480</v>
      </c>
      <c r="H142" s="42">
        <f>'Model Inputs'!H16</f>
        <v>480</v>
      </c>
      <c r="I142" s="42">
        <f>'Model Inputs'!I16</f>
        <v>480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35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430.55714285714288</v>
      </c>
      <c r="H143" s="41">
        <f>(G143*14+H142)/15</f>
        <v>433.85333333333335</v>
      </c>
      <c r="I143" s="41">
        <f>(H143*15+I142)/16</f>
        <v>436.73750000000001</v>
      </c>
      <c r="J143" s="41">
        <f>(I143*16+J142)/17</f>
        <v>411.04705882352943</v>
      </c>
      <c r="K143" s="41">
        <f>(J143*17+K142)/18</f>
        <v>388.21111111111111</v>
      </c>
      <c r="L143" s="41">
        <f>(K143*17+L142)/18</f>
        <v>366.6438271604938</v>
      </c>
      <c r="M143" s="41">
        <f>(L143*17+M142)/18</f>
        <v>346.27472565157746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3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21430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35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5.7676154923005131E-2</v>
      </c>
      <c r="H145" s="30">
        <f>'Model Inputs'!H17</f>
        <v>9.4878576580908813E-2</v>
      </c>
      <c r="I145" s="30">
        <f>'Model Inputs'!I17</f>
        <v>0.10192335363806415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35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35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35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35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35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35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18">HLOOKUP($E$3,$P$3:$CI$269,O151,FALSE)</f>
        <v>1</v>
      </c>
      <c r="H151" s="32">
        <f t="shared" ref="H151:M151" si="19">G151</f>
        <v>1</v>
      </c>
      <c r="I151" s="32">
        <f t="shared" si="19"/>
        <v>1</v>
      </c>
      <c r="J151" s="32">
        <f t="shared" si="19"/>
        <v>1</v>
      </c>
      <c r="K151" s="32">
        <f t="shared" si="19"/>
        <v>1</v>
      </c>
      <c r="L151" s="32">
        <f t="shared" si="19"/>
        <v>1</v>
      </c>
      <c r="M151" s="32">
        <f t="shared" si="19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35">
      <c r="A152" s="3"/>
      <c r="B152" s="10">
        <v>138</v>
      </c>
      <c r="C152" s="3"/>
      <c r="D152" s="3"/>
      <c r="E152" s="37" t="s">
        <v>126</v>
      </c>
      <c r="F152" s="44"/>
      <c r="G152" s="44">
        <f t="shared" si="18"/>
        <v>0.15098974290394029</v>
      </c>
      <c r="H152" s="44">
        <f t="shared" ref="H152:M152" si="20">H113/H137</f>
        <v>0.14198921061944567</v>
      </c>
      <c r="I152" s="44">
        <f t="shared" si="20"/>
        <v>0.13780831655214748</v>
      </c>
      <c r="J152" s="44">
        <f t="shared" si="20"/>
        <v>6.2187957304673233E-2</v>
      </c>
      <c r="K152" s="44">
        <f t="shared" si="20"/>
        <v>6.2187957304673233E-2</v>
      </c>
      <c r="L152" s="44">
        <f t="shared" si="20"/>
        <v>6.2187957304673233E-2</v>
      </c>
      <c r="M152" s="44">
        <f t="shared" si="20"/>
        <v>6.2187957304673233E-2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35">
      <c r="A153" s="3"/>
      <c r="B153" s="10">
        <v>139</v>
      </c>
      <c r="C153" s="3"/>
      <c r="D153" s="3"/>
      <c r="E153" s="37" t="s">
        <v>127</v>
      </c>
      <c r="F153" s="25"/>
      <c r="G153" s="25">
        <f t="shared" si="18"/>
        <v>22666</v>
      </c>
      <c r="H153" s="25">
        <f t="shared" ref="H153:M153" si="21">H96</f>
        <v>22852</v>
      </c>
      <c r="I153" s="25">
        <f t="shared" si="21"/>
        <v>23060</v>
      </c>
      <c r="J153" s="25">
        <f t="shared" si="21"/>
        <v>0</v>
      </c>
      <c r="K153" s="25">
        <f t="shared" si="21"/>
        <v>0</v>
      </c>
      <c r="L153" s="25">
        <f t="shared" si="21"/>
        <v>0</v>
      </c>
      <c r="M153" s="25">
        <f t="shared" si="21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35">
      <c r="A154" s="3"/>
      <c r="B154" s="10">
        <v>140</v>
      </c>
      <c r="C154" s="3"/>
      <c r="D154" s="3"/>
      <c r="E154" s="37" t="s">
        <v>128</v>
      </c>
      <c r="F154" s="25"/>
      <c r="G154" s="25">
        <f t="shared" si="18"/>
        <v>104372</v>
      </c>
      <c r="H154" s="25">
        <f t="shared" ref="H154:M154" si="22">H131</f>
        <v>104372</v>
      </c>
      <c r="I154" s="25">
        <f t="shared" si="22"/>
        <v>104372</v>
      </c>
      <c r="J154" s="25">
        <f t="shared" si="22"/>
        <v>104372</v>
      </c>
      <c r="K154" s="25">
        <f t="shared" si="22"/>
        <v>104372</v>
      </c>
      <c r="L154" s="25">
        <f t="shared" si="22"/>
        <v>104372</v>
      </c>
      <c r="M154" s="25">
        <f t="shared" si="22"/>
        <v>104372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35">
      <c r="A155" s="3"/>
      <c r="B155" s="10">
        <v>141</v>
      </c>
      <c r="C155" s="3"/>
      <c r="D155" s="3"/>
      <c r="E155" s="37" t="s">
        <v>129</v>
      </c>
      <c r="F155" s="39"/>
      <c r="G155" s="39">
        <f t="shared" si="18"/>
        <v>352083285</v>
      </c>
      <c r="H155" s="39">
        <f t="shared" ref="H155:M155" si="23">H97</f>
        <v>360086954</v>
      </c>
      <c r="I155" s="39">
        <f t="shared" si="23"/>
        <v>343852887</v>
      </c>
      <c r="J155" s="39">
        <f t="shared" si="23"/>
        <v>0</v>
      </c>
      <c r="K155" s="39">
        <f t="shared" si="23"/>
        <v>0</v>
      </c>
      <c r="L155" s="39">
        <f t="shared" si="23"/>
        <v>0</v>
      </c>
      <c r="M155" s="39">
        <f t="shared" si="23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35">
      <c r="A156" s="3"/>
      <c r="B156" s="10">
        <v>142</v>
      </c>
      <c r="C156" s="3"/>
      <c r="D156" s="3"/>
      <c r="E156" s="37" t="s">
        <v>140</v>
      </c>
      <c r="F156" s="45"/>
      <c r="G156" s="45">
        <f t="shared" si="18"/>
        <v>430.55714285714288</v>
      </c>
      <c r="H156" s="45">
        <f t="shared" ref="H156:M156" si="24">H143</f>
        <v>433.85333333333335</v>
      </c>
      <c r="I156" s="45">
        <f t="shared" si="24"/>
        <v>436.73750000000001</v>
      </c>
      <c r="J156" s="45">
        <f t="shared" si="24"/>
        <v>411.04705882352943</v>
      </c>
      <c r="K156" s="45">
        <f t="shared" si="24"/>
        <v>388.21111111111111</v>
      </c>
      <c r="L156" s="45">
        <f t="shared" si="24"/>
        <v>366.6438271604938</v>
      </c>
      <c r="M156" s="45">
        <f t="shared" si="24"/>
        <v>346.27472565157746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35">
      <c r="A157" s="3"/>
      <c r="B157" s="10">
        <v>143</v>
      </c>
      <c r="C157" s="3"/>
      <c r="D157" s="3"/>
      <c r="E157" s="37" t="s">
        <v>141</v>
      </c>
      <c r="F157" s="31"/>
      <c r="G157" s="31">
        <f t="shared" si="18"/>
        <v>5.7676154923005131E-2</v>
      </c>
      <c r="H157" s="31">
        <f t="shared" ref="H157:M157" si="25">H145</f>
        <v>9.4878576580908813E-2</v>
      </c>
      <c r="I157" s="31">
        <f t="shared" si="25"/>
        <v>0.10192335363806415</v>
      </c>
      <c r="J157" s="31">
        <f t="shared" si="25"/>
        <v>0</v>
      </c>
      <c r="K157" s="31">
        <f t="shared" si="25"/>
        <v>0</v>
      </c>
      <c r="L157" s="31">
        <f t="shared" si="25"/>
        <v>0</v>
      </c>
      <c r="M157" s="31">
        <f t="shared" si="25"/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35">
      <c r="A158" s="3"/>
      <c r="B158" s="10">
        <v>144</v>
      </c>
      <c r="C158" s="3"/>
      <c r="D158" s="3"/>
      <c r="E158" s="37" t="s">
        <v>142</v>
      </c>
      <c r="G158" s="3">
        <f t="shared" si="18"/>
        <v>9</v>
      </c>
      <c r="H158" s="3">
        <f>H5-2006</f>
        <v>10</v>
      </c>
      <c r="I158" s="3">
        <f>I5-2006</f>
        <v>11</v>
      </c>
      <c r="J158" s="3">
        <f>J5-2006</f>
        <v>12</v>
      </c>
      <c r="K158" s="3">
        <f>K5-2006</f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35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35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35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35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26">HLOOKUP($E$3,$P$3:$CI$269,O162,FALSE)</f>
        <v>12.815763359841434</v>
      </c>
      <c r="H162" s="49">
        <f t="shared" ref="H162:M179" si="27">G162</f>
        <v>12.815763359841434</v>
      </c>
      <c r="I162" s="49">
        <f t="shared" si="27"/>
        <v>12.815763359841434</v>
      </c>
      <c r="J162" s="49">
        <f t="shared" si="27"/>
        <v>12.815763359841434</v>
      </c>
      <c r="K162" s="49">
        <f t="shared" si="27"/>
        <v>12.815763359841434</v>
      </c>
      <c r="L162" s="49">
        <f t="shared" si="27"/>
        <v>12.815763359841434</v>
      </c>
      <c r="M162" s="49">
        <f t="shared" si="27"/>
        <v>12.815763359841434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35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26"/>
        <v>0.62845189561653692</v>
      </c>
      <c r="H163" s="49">
        <f t="shared" si="27"/>
        <v>0.62845189561653692</v>
      </c>
      <c r="I163" s="49">
        <f t="shared" si="27"/>
        <v>0.62845189561653692</v>
      </c>
      <c r="J163" s="49">
        <f t="shared" si="27"/>
        <v>0.62845189561653692</v>
      </c>
      <c r="K163" s="49">
        <f t="shared" si="27"/>
        <v>0.62845189561653692</v>
      </c>
      <c r="L163" s="49">
        <f t="shared" si="27"/>
        <v>0.62845189561653692</v>
      </c>
      <c r="M163" s="49">
        <f t="shared" si="27"/>
        <v>0.62845189561653692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35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26"/>
        <v>0.44342744550240265</v>
      </c>
      <c r="H164" s="49">
        <f t="shared" si="27"/>
        <v>0.44342744550240265</v>
      </c>
      <c r="I164" s="49">
        <f t="shared" si="27"/>
        <v>0.44342744550240265</v>
      </c>
      <c r="J164" s="49">
        <f t="shared" si="27"/>
        <v>0.44342744550240265</v>
      </c>
      <c r="K164" s="49">
        <f t="shared" si="27"/>
        <v>0.44342744550240265</v>
      </c>
      <c r="L164" s="49">
        <f t="shared" si="27"/>
        <v>0.44342744550240265</v>
      </c>
      <c r="M164" s="49">
        <f t="shared" si="27"/>
        <v>0.44342744550240265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35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26"/>
        <v>0.1623917780574746</v>
      </c>
      <c r="H165" s="49">
        <f t="shared" si="27"/>
        <v>0.1623917780574746</v>
      </c>
      <c r="I165" s="49">
        <f t="shared" si="27"/>
        <v>0.1623917780574746</v>
      </c>
      <c r="J165" s="49">
        <f t="shared" si="27"/>
        <v>0.1623917780574746</v>
      </c>
      <c r="K165" s="49">
        <f t="shared" si="27"/>
        <v>0.1623917780574746</v>
      </c>
      <c r="L165" s="49">
        <f t="shared" si="27"/>
        <v>0.1623917780574746</v>
      </c>
      <c r="M165" s="49">
        <f t="shared" si="27"/>
        <v>0.1623917780574746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35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26"/>
        <v>0.10415743115331262</v>
      </c>
      <c r="H166" s="49">
        <f t="shared" si="27"/>
        <v>0.10415743115331262</v>
      </c>
      <c r="I166" s="49">
        <f t="shared" si="27"/>
        <v>0.10415743115331262</v>
      </c>
      <c r="J166" s="49">
        <f t="shared" si="27"/>
        <v>0.10415743115331262</v>
      </c>
      <c r="K166" s="49">
        <f t="shared" si="27"/>
        <v>0.10415743115331262</v>
      </c>
      <c r="L166" s="49">
        <f t="shared" si="27"/>
        <v>0.10415743115331262</v>
      </c>
      <c r="M166" s="49">
        <f t="shared" si="27"/>
        <v>0.10415743115331262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35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26"/>
        <v>0.1233185145088953</v>
      </c>
      <c r="H167" s="49">
        <f t="shared" si="27"/>
        <v>0.1233185145088953</v>
      </c>
      <c r="I167" s="49">
        <f t="shared" si="27"/>
        <v>0.1233185145088953</v>
      </c>
      <c r="J167" s="49">
        <f t="shared" si="27"/>
        <v>0.1233185145088953</v>
      </c>
      <c r="K167" s="49">
        <f t="shared" si="27"/>
        <v>0.1233185145088953</v>
      </c>
      <c r="L167" s="49">
        <f t="shared" si="27"/>
        <v>0.1233185145088953</v>
      </c>
      <c r="M167" s="49">
        <f t="shared" si="27"/>
        <v>0.1233185145088953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35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26"/>
        <v>-0.3760580341659242</v>
      </c>
      <c r="H168" s="49">
        <f t="shared" si="27"/>
        <v>-0.3760580341659242</v>
      </c>
      <c r="I168" s="49">
        <f t="shared" si="27"/>
        <v>-0.3760580341659242</v>
      </c>
      <c r="J168" s="49">
        <f t="shared" si="27"/>
        <v>-0.3760580341659242</v>
      </c>
      <c r="K168" s="49">
        <f t="shared" si="27"/>
        <v>-0.3760580341659242</v>
      </c>
      <c r="L168" s="49">
        <f t="shared" si="27"/>
        <v>-0.3760580341659242</v>
      </c>
      <c r="M168" s="49">
        <f t="shared" si="27"/>
        <v>-0.3760580341659242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35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26"/>
        <v>0.18276575431779585</v>
      </c>
      <c r="H169" s="49">
        <f t="shared" si="27"/>
        <v>0.18276575431779585</v>
      </c>
      <c r="I169" s="49">
        <f t="shared" si="27"/>
        <v>0.18276575431779585</v>
      </c>
      <c r="J169" s="49">
        <f t="shared" si="27"/>
        <v>0.18276575431779585</v>
      </c>
      <c r="K169" s="49">
        <f t="shared" si="27"/>
        <v>0.18276575431779585</v>
      </c>
      <c r="L169" s="49">
        <f t="shared" si="27"/>
        <v>0.18276575431779585</v>
      </c>
      <c r="M169" s="49">
        <f t="shared" si="27"/>
        <v>0.18276575431779585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35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26"/>
        <v>0.16373590283611791</v>
      </c>
      <c r="H170" s="49">
        <f t="shared" si="27"/>
        <v>0.16373590283611791</v>
      </c>
      <c r="I170" s="49">
        <f t="shared" si="27"/>
        <v>0.16373590283611791</v>
      </c>
      <c r="J170" s="49">
        <f t="shared" si="27"/>
        <v>0.16373590283611791</v>
      </c>
      <c r="K170" s="49">
        <f t="shared" si="27"/>
        <v>0.16373590283611791</v>
      </c>
      <c r="L170" s="49">
        <f t="shared" si="27"/>
        <v>0.16373590283611791</v>
      </c>
      <c r="M170" s="49">
        <f t="shared" si="27"/>
        <v>0.16373590283611791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35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26"/>
        <v>5.5990134811783165E-2</v>
      </c>
      <c r="H171" s="49">
        <f t="shared" si="27"/>
        <v>5.5990134811783165E-2</v>
      </c>
      <c r="I171" s="49">
        <f t="shared" si="27"/>
        <v>5.5990134811783165E-2</v>
      </c>
      <c r="J171" s="49">
        <f t="shared" si="27"/>
        <v>5.5990134811783165E-2</v>
      </c>
      <c r="K171" s="49">
        <f t="shared" si="27"/>
        <v>5.5990134811783165E-2</v>
      </c>
      <c r="L171" s="49">
        <f t="shared" si="27"/>
        <v>5.5990134811783165E-2</v>
      </c>
      <c r="M171" s="49">
        <f t="shared" si="27"/>
        <v>5.5990134811783165E-2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35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26"/>
        <v>8.7628386700441263E-3</v>
      </c>
      <c r="H172" s="49">
        <f t="shared" si="27"/>
        <v>8.7628386700441263E-3</v>
      </c>
      <c r="I172" s="49">
        <f t="shared" si="27"/>
        <v>8.7628386700441263E-3</v>
      </c>
      <c r="J172" s="49">
        <f t="shared" si="27"/>
        <v>8.7628386700441263E-3</v>
      </c>
      <c r="K172" s="49">
        <f t="shared" si="27"/>
        <v>8.7628386700441263E-3</v>
      </c>
      <c r="L172" s="49">
        <f t="shared" si="27"/>
        <v>8.7628386700441263E-3</v>
      </c>
      <c r="M172" s="49">
        <f t="shared" si="27"/>
        <v>8.7628386700441263E-3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35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26"/>
        <v>-1.367785384319864E-3</v>
      </c>
      <c r="H173" s="49">
        <f t="shared" si="27"/>
        <v>-1.367785384319864E-3</v>
      </c>
      <c r="I173" s="49">
        <f t="shared" si="27"/>
        <v>-1.367785384319864E-3</v>
      </c>
      <c r="J173" s="49">
        <f t="shared" si="27"/>
        <v>-1.367785384319864E-3</v>
      </c>
      <c r="K173" s="49">
        <f t="shared" si="27"/>
        <v>-1.367785384319864E-3</v>
      </c>
      <c r="L173" s="49">
        <f t="shared" si="27"/>
        <v>-1.367785384319864E-3</v>
      </c>
      <c r="M173" s="49">
        <f t="shared" si="27"/>
        <v>-1.367785384319864E-3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35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26"/>
        <v>0.14373198907844248</v>
      </c>
      <c r="H174" s="49">
        <f t="shared" si="27"/>
        <v>0.14373198907844248</v>
      </c>
      <c r="I174" s="49">
        <f t="shared" si="27"/>
        <v>0.14373198907844248</v>
      </c>
      <c r="J174" s="49">
        <f t="shared" si="27"/>
        <v>0.14373198907844248</v>
      </c>
      <c r="K174" s="49">
        <f t="shared" si="27"/>
        <v>0.14373198907844248</v>
      </c>
      <c r="L174" s="49">
        <f t="shared" si="27"/>
        <v>0.14373198907844248</v>
      </c>
      <c r="M174" s="49">
        <f t="shared" si="27"/>
        <v>0.14373198907844248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35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26"/>
        <v>6.2914230789096276E-2</v>
      </c>
      <c r="H175" s="49">
        <f t="shared" si="27"/>
        <v>6.2914230789096276E-2</v>
      </c>
      <c r="I175" s="49">
        <f t="shared" si="27"/>
        <v>6.2914230789096276E-2</v>
      </c>
      <c r="J175" s="49">
        <f t="shared" si="27"/>
        <v>6.2914230789096276E-2</v>
      </c>
      <c r="K175" s="49">
        <f t="shared" si="27"/>
        <v>6.2914230789096276E-2</v>
      </c>
      <c r="L175" s="49">
        <f t="shared" si="27"/>
        <v>6.2914230789096276E-2</v>
      </c>
      <c r="M175" s="49">
        <f t="shared" si="27"/>
        <v>6.2914230789096276E-2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35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26"/>
        <v>-0.19413898408103403</v>
      </c>
      <c r="H176" s="49">
        <f t="shared" si="27"/>
        <v>-0.19413898408103403</v>
      </c>
      <c r="I176" s="49">
        <f t="shared" si="27"/>
        <v>-0.19413898408103403</v>
      </c>
      <c r="J176" s="49">
        <f t="shared" si="27"/>
        <v>-0.19413898408103403</v>
      </c>
      <c r="K176" s="49">
        <f t="shared" si="27"/>
        <v>-0.19413898408103403</v>
      </c>
      <c r="L176" s="49">
        <f t="shared" si="27"/>
        <v>-0.19413898408103403</v>
      </c>
      <c r="M176" s="49">
        <f t="shared" si="27"/>
        <v>-0.19413898408103403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35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26"/>
        <v>0.28349120517139337</v>
      </c>
      <c r="H177" s="49">
        <f t="shared" si="27"/>
        <v>0.28349120517139337</v>
      </c>
      <c r="I177" s="49">
        <f t="shared" si="27"/>
        <v>0.28349120517139337</v>
      </c>
      <c r="J177" s="49">
        <f t="shared" si="27"/>
        <v>0.28349120517139337</v>
      </c>
      <c r="K177" s="49">
        <f t="shared" si="27"/>
        <v>0.28349120517139337</v>
      </c>
      <c r="L177" s="49">
        <f t="shared" si="27"/>
        <v>0.28349120517139337</v>
      </c>
      <c r="M177" s="49">
        <f t="shared" si="27"/>
        <v>0.28349120517139337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35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26"/>
        <v>1.6231890457665921E-2</v>
      </c>
      <c r="H178" s="49">
        <f t="shared" si="27"/>
        <v>1.6231890457665921E-2</v>
      </c>
      <c r="I178" s="49">
        <f t="shared" si="27"/>
        <v>1.6231890457665921E-2</v>
      </c>
      <c r="J178" s="49">
        <f t="shared" si="27"/>
        <v>1.6231890457665921E-2</v>
      </c>
      <c r="K178" s="49">
        <f t="shared" si="27"/>
        <v>1.6231890457665921E-2</v>
      </c>
      <c r="L178" s="49">
        <f t="shared" si="27"/>
        <v>1.6231890457665921E-2</v>
      </c>
      <c r="M178" s="49">
        <f t="shared" si="27"/>
        <v>1.6231890457665921E-2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35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26"/>
        <v>1.6943170190737777E-2</v>
      </c>
      <c r="H179" s="49">
        <f t="shared" si="27"/>
        <v>1.6943170190737777E-2</v>
      </c>
      <c r="I179" s="49">
        <f t="shared" si="27"/>
        <v>1.6943170190737777E-2</v>
      </c>
      <c r="J179" s="49">
        <f t="shared" si="27"/>
        <v>1.6943170190737777E-2</v>
      </c>
      <c r="K179" s="49">
        <f t="shared" si="27"/>
        <v>1.6943170190737777E-2</v>
      </c>
      <c r="L179" s="49">
        <f t="shared" si="27"/>
        <v>1.6943170190737777E-2</v>
      </c>
      <c r="M179" s="49">
        <f t="shared" si="27"/>
        <v>1.6943170190737777E-2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35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35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35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35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28">HLOOKUP($E$3,$P$3:$CI$269,O183,FALSE)</f>
        <v>1</v>
      </c>
      <c r="H183" s="49">
        <f t="shared" ref="H183:M199" si="29">G183</f>
        <v>1</v>
      </c>
      <c r="I183" s="49">
        <f t="shared" si="29"/>
        <v>1</v>
      </c>
      <c r="J183" s="49">
        <f t="shared" si="29"/>
        <v>1</v>
      </c>
      <c r="K183" s="49">
        <f t="shared" si="29"/>
        <v>1</v>
      </c>
      <c r="L183" s="49">
        <f t="shared" si="29"/>
        <v>1</v>
      </c>
      <c r="M183" s="49">
        <f t="shared" si="29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35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28"/>
        <v>0.16439999999999999</v>
      </c>
      <c r="H184" s="49">
        <f t="shared" si="29"/>
        <v>0.16439999999999999</v>
      </c>
      <c r="I184" s="49">
        <f t="shared" si="29"/>
        <v>0.16439999999999999</v>
      </c>
      <c r="J184" s="49">
        <f t="shared" si="29"/>
        <v>0.16439999999999999</v>
      </c>
      <c r="K184" s="49">
        <f t="shared" si="29"/>
        <v>0.16439999999999999</v>
      </c>
      <c r="L184" s="49">
        <f t="shared" si="29"/>
        <v>0.16439999999999999</v>
      </c>
      <c r="M184" s="49">
        <f t="shared" si="29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35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28"/>
        <v>63422.311800000003</v>
      </c>
      <c r="H185" s="49">
        <f t="shared" si="29"/>
        <v>63422.311800000003</v>
      </c>
      <c r="I185" s="49">
        <f t="shared" si="29"/>
        <v>63422.311800000003</v>
      </c>
      <c r="J185" s="49">
        <f t="shared" si="29"/>
        <v>63422.311800000003</v>
      </c>
      <c r="K185" s="49">
        <f t="shared" si="29"/>
        <v>63422.311800000003</v>
      </c>
      <c r="L185" s="49">
        <f t="shared" si="29"/>
        <v>63422.311800000003</v>
      </c>
      <c r="M185" s="49">
        <f t="shared" si="29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35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28"/>
        <v>345129.01459999999</v>
      </c>
      <c r="H186" s="49">
        <f t="shared" si="29"/>
        <v>345129.01459999999</v>
      </c>
      <c r="I186" s="49">
        <f t="shared" si="29"/>
        <v>345129.01459999999</v>
      </c>
      <c r="J186" s="49">
        <f t="shared" si="29"/>
        <v>345129.01459999999</v>
      </c>
      <c r="K186" s="49">
        <f t="shared" si="29"/>
        <v>345129.01459999999</v>
      </c>
      <c r="L186" s="49">
        <f t="shared" si="29"/>
        <v>345129.01459999999</v>
      </c>
      <c r="M186" s="49">
        <f t="shared" si="29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35">
      <c r="A187" s="3"/>
      <c r="B187" s="10">
        <v>173</v>
      </c>
      <c r="C187" s="8"/>
      <c r="D187" s="8"/>
      <c r="E187" s="51" t="s">
        <v>144</v>
      </c>
      <c r="F187" s="25"/>
      <c r="G187" s="25">
        <f t="shared" si="28"/>
        <v>1630327994.0632999</v>
      </c>
      <c r="H187" s="52">
        <f t="shared" si="29"/>
        <v>1630327994.0632999</v>
      </c>
      <c r="I187" s="52">
        <f t="shared" si="29"/>
        <v>1630327994.0632999</v>
      </c>
      <c r="J187" s="52">
        <f t="shared" si="29"/>
        <v>1630327994.0632999</v>
      </c>
      <c r="K187" s="52">
        <f t="shared" si="29"/>
        <v>1630327994.0632999</v>
      </c>
      <c r="L187" s="52">
        <f t="shared" si="29"/>
        <v>1630327994.0632999</v>
      </c>
      <c r="M187" s="52">
        <f t="shared" si="29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35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28"/>
        <v>1</v>
      </c>
      <c r="H188" s="49">
        <f t="shared" si="29"/>
        <v>1</v>
      </c>
      <c r="I188" s="49">
        <f t="shared" si="29"/>
        <v>1</v>
      </c>
      <c r="J188" s="49">
        <f t="shared" si="29"/>
        <v>1</v>
      </c>
      <c r="K188" s="49">
        <f t="shared" si="29"/>
        <v>1</v>
      </c>
      <c r="L188" s="49">
        <f t="shared" si="29"/>
        <v>1</v>
      </c>
      <c r="M188" s="49">
        <f t="shared" si="29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35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28"/>
        <v>1</v>
      </c>
      <c r="H189" s="49">
        <f t="shared" si="29"/>
        <v>1</v>
      </c>
      <c r="I189" s="49">
        <f t="shared" si="29"/>
        <v>1</v>
      </c>
      <c r="J189" s="49">
        <f t="shared" si="29"/>
        <v>1</v>
      </c>
      <c r="K189" s="49">
        <f t="shared" si="29"/>
        <v>1</v>
      </c>
      <c r="L189" s="49">
        <f t="shared" si="29"/>
        <v>1</v>
      </c>
      <c r="M189" s="49">
        <f t="shared" si="29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35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28"/>
        <v>1</v>
      </c>
      <c r="H190" s="49">
        <f t="shared" si="29"/>
        <v>1</v>
      </c>
      <c r="I190" s="49">
        <f t="shared" si="29"/>
        <v>1</v>
      </c>
      <c r="J190" s="49">
        <f t="shared" si="29"/>
        <v>1</v>
      </c>
      <c r="K190" s="49">
        <f t="shared" si="29"/>
        <v>1</v>
      </c>
      <c r="L190" s="49">
        <f t="shared" si="29"/>
        <v>1</v>
      </c>
      <c r="M190" s="49">
        <f t="shared" si="29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35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28"/>
        <v>1</v>
      </c>
      <c r="H191" s="49">
        <f t="shared" si="29"/>
        <v>1</v>
      </c>
      <c r="I191" s="49">
        <f t="shared" si="29"/>
        <v>1</v>
      </c>
      <c r="J191" s="49">
        <f t="shared" si="29"/>
        <v>1</v>
      </c>
      <c r="K191" s="49">
        <f t="shared" si="29"/>
        <v>1</v>
      </c>
      <c r="L191" s="49">
        <f t="shared" si="29"/>
        <v>1</v>
      </c>
      <c r="M191" s="49">
        <f t="shared" si="29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35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28"/>
        <v>1</v>
      </c>
      <c r="H192" s="49">
        <f t="shared" si="29"/>
        <v>1</v>
      </c>
      <c r="I192" s="49">
        <f t="shared" si="29"/>
        <v>1</v>
      </c>
      <c r="J192" s="49">
        <f t="shared" si="29"/>
        <v>1</v>
      </c>
      <c r="K192" s="49">
        <f t="shared" si="29"/>
        <v>1</v>
      </c>
      <c r="L192" s="49">
        <f t="shared" si="29"/>
        <v>1</v>
      </c>
      <c r="M192" s="49">
        <f t="shared" si="29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35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28"/>
        <v>1</v>
      </c>
      <c r="H193" s="49">
        <f t="shared" si="29"/>
        <v>1</v>
      </c>
      <c r="I193" s="49">
        <f t="shared" si="29"/>
        <v>1</v>
      </c>
      <c r="J193" s="49">
        <f t="shared" si="29"/>
        <v>1</v>
      </c>
      <c r="K193" s="49">
        <f t="shared" si="29"/>
        <v>1</v>
      </c>
      <c r="L193" s="49">
        <f t="shared" si="29"/>
        <v>1</v>
      </c>
      <c r="M193" s="49">
        <f t="shared" si="29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35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28"/>
        <v>1</v>
      </c>
      <c r="H194" s="49">
        <f t="shared" si="29"/>
        <v>1</v>
      </c>
      <c r="I194" s="49">
        <f t="shared" si="29"/>
        <v>1</v>
      </c>
      <c r="J194" s="49">
        <f t="shared" si="29"/>
        <v>1</v>
      </c>
      <c r="K194" s="49">
        <f t="shared" si="29"/>
        <v>1</v>
      </c>
      <c r="L194" s="49">
        <f t="shared" si="29"/>
        <v>1</v>
      </c>
      <c r="M194" s="49">
        <f t="shared" si="29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35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28"/>
        <v>1</v>
      </c>
      <c r="H195" s="49">
        <f t="shared" si="29"/>
        <v>1</v>
      </c>
      <c r="I195" s="49">
        <f t="shared" si="29"/>
        <v>1</v>
      </c>
      <c r="J195" s="49">
        <f t="shared" si="29"/>
        <v>1</v>
      </c>
      <c r="K195" s="49">
        <f t="shared" si="29"/>
        <v>1</v>
      </c>
      <c r="L195" s="49">
        <f t="shared" si="29"/>
        <v>1</v>
      </c>
      <c r="M195" s="49">
        <f t="shared" si="29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35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28"/>
        <v>1</v>
      </c>
      <c r="H196" s="49">
        <f t="shared" si="29"/>
        <v>1</v>
      </c>
      <c r="I196" s="49">
        <f t="shared" si="29"/>
        <v>1</v>
      </c>
      <c r="J196" s="49">
        <f t="shared" si="29"/>
        <v>1</v>
      </c>
      <c r="K196" s="49">
        <f t="shared" si="29"/>
        <v>1</v>
      </c>
      <c r="L196" s="49">
        <f t="shared" si="29"/>
        <v>1</v>
      </c>
      <c r="M196" s="49">
        <f t="shared" si="29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35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28"/>
        <v>1</v>
      </c>
      <c r="H197" s="49">
        <f t="shared" si="29"/>
        <v>1</v>
      </c>
      <c r="I197" s="49">
        <f t="shared" si="29"/>
        <v>1</v>
      </c>
      <c r="J197" s="49">
        <f t="shared" si="29"/>
        <v>1</v>
      </c>
      <c r="K197" s="49">
        <f t="shared" si="29"/>
        <v>1</v>
      </c>
      <c r="L197" s="49">
        <f t="shared" si="29"/>
        <v>1</v>
      </c>
      <c r="M197" s="49">
        <f t="shared" si="29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35">
      <c r="A198" s="3"/>
      <c r="B198" s="10">
        <v>184</v>
      </c>
      <c r="C198" s="8"/>
      <c r="D198" s="8"/>
      <c r="E198" s="51" t="s">
        <v>140</v>
      </c>
      <c r="F198" s="25"/>
      <c r="G198" s="25">
        <f t="shared" si="28"/>
        <v>2722.7979999999998</v>
      </c>
      <c r="H198" s="52">
        <f t="shared" si="29"/>
        <v>2722.7979999999998</v>
      </c>
      <c r="I198" s="52">
        <f t="shared" si="29"/>
        <v>2722.7979999999998</v>
      </c>
      <c r="J198" s="52">
        <f t="shared" si="29"/>
        <v>2722.7979999999998</v>
      </c>
      <c r="K198" s="52">
        <f t="shared" si="29"/>
        <v>2722.7979999999998</v>
      </c>
      <c r="L198" s="52">
        <f t="shared" si="29"/>
        <v>2722.7979999999998</v>
      </c>
      <c r="M198" s="52">
        <f t="shared" si="29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35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28"/>
        <v>0.12859999999999999</v>
      </c>
      <c r="H199" s="49">
        <f t="shared" si="29"/>
        <v>0.12859999999999999</v>
      </c>
      <c r="I199" s="49">
        <f t="shared" si="29"/>
        <v>0.12859999999999999</v>
      </c>
      <c r="J199" s="49">
        <f t="shared" si="29"/>
        <v>0.12859999999999999</v>
      </c>
      <c r="K199" s="49">
        <f t="shared" si="29"/>
        <v>0.12859999999999999</v>
      </c>
      <c r="L199" s="49">
        <f t="shared" si="29"/>
        <v>0.12859999999999999</v>
      </c>
      <c r="M199" s="49">
        <f t="shared" si="29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35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35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35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35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35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35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30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35">
      <c r="A206" s="3"/>
      <c r="B206" s="10">
        <v>192</v>
      </c>
      <c r="C206" s="3"/>
      <c r="D206" s="3"/>
      <c r="E206" s="37" t="s">
        <v>126</v>
      </c>
      <c r="F206" s="48"/>
      <c r="G206" s="48">
        <f t="shared" si="30"/>
        <v>-8.509057590282669E-2</v>
      </c>
      <c r="H206" s="48">
        <f t="shared" ref="H206:K209" si="31">LN(H152/H184)</f>
        <v>-0.14655140946076273</v>
      </c>
      <c r="I206" s="48">
        <f t="shared" si="31"/>
        <v>-0.17643877352586024</v>
      </c>
      <c r="J206" s="48">
        <f t="shared" si="31"/>
        <v>-0.97214111408731918</v>
      </c>
      <c r="K206" s="48">
        <f t="shared" si="31"/>
        <v>-0.97214111408731918</v>
      </c>
      <c r="L206" s="48">
        <f t="shared" ref="L206:M209" si="32">LN(L152/L184)</f>
        <v>-0.97214111408731918</v>
      </c>
      <c r="M206" s="48">
        <f t="shared" si="32"/>
        <v>-0.97214111408731918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35">
      <c r="A207" s="3"/>
      <c r="B207" s="10">
        <v>193</v>
      </c>
      <c r="C207" s="3"/>
      <c r="D207" s="3"/>
      <c r="E207" s="37" t="s">
        <v>127</v>
      </c>
      <c r="F207" s="48"/>
      <c r="G207" s="48">
        <f t="shared" si="30"/>
        <v>-1.0289497163583519</v>
      </c>
      <c r="H207" s="48">
        <f t="shared" si="31"/>
        <v>-1.0207770798068925</v>
      </c>
      <c r="I207" s="48">
        <f t="shared" si="31"/>
        <v>-1.0117162058281957</v>
      </c>
      <c r="J207" s="48" t="e">
        <f t="shared" si="31"/>
        <v>#NUM!</v>
      </c>
      <c r="K207" s="48" t="e">
        <f t="shared" si="31"/>
        <v>#NUM!</v>
      </c>
      <c r="L207" s="48" t="e">
        <f t="shared" si="32"/>
        <v>#NUM!</v>
      </c>
      <c r="M207" s="48" t="e">
        <f t="shared" si="3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35">
      <c r="A208" s="3"/>
      <c r="B208" s="10">
        <v>194</v>
      </c>
      <c r="C208" s="3"/>
      <c r="D208" s="3"/>
      <c r="E208" s="37" t="s">
        <v>128</v>
      </c>
      <c r="F208" s="48"/>
      <c r="G208" s="48">
        <f t="shared" si="30"/>
        <v>-1.1959568622468233</v>
      </c>
      <c r="H208" s="48">
        <f t="shared" si="31"/>
        <v>-1.1959568622468233</v>
      </c>
      <c r="I208" s="48">
        <f t="shared" si="31"/>
        <v>-1.1959568622468233</v>
      </c>
      <c r="J208" s="48">
        <f t="shared" si="31"/>
        <v>-1.1959568622468233</v>
      </c>
      <c r="K208" s="48">
        <f t="shared" si="31"/>
        <v>-1.1959568622468233</v>
      </c>
      <c r="L208" s="48">
        <f t="shared" si="32"/>
        <v>-1.1959568622468233</v>
      </c>
      <c r="M208" s="48">
        <f t="shared" si="32"/>
        <v>-1.1959568622468233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35">
      <c r="A209" s="3"/>
      <c r="B209" s="10">
        <v>195</v>
      </c>
      <c r="C209" s="3"/>
      <c r="D209" s="3"/>
      <c r="E209" s="37" t="s">
        <v>129</v>
      </c>
      <c r="F209" s="48"/>
      <c r="G209" s="48">
        <f t="shared" si="30"/>
        <v>-1.5326687441846647</v>
      </c>
      <c r="H209" s="48">
        <f t="shared" si="31"/>
        <v>-1.5101909557365991</v>
      </c>
      <c r="I209" s="48">
        <f t="shared" si="31"/>
        <v>-1.5563225850762727</v>
      </c>
      <c r="J209" s="48" t="e">
        <f t="shared" si="31"/>
        <v>#NUM!</v>
      </c>
      <c r="K209" s="48" t="e">
        <f t="shared" si="31"/>
        <v>#NUM!</v>
      </c>
      <c r="L209" s="48" t="e">
        <f t="shared" si="32"/>
        <v>#NUM!</v>
      </c>
      <c r="M209" s="48" t="e">
        <f t="shared" si="32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35">
      <c r="A210" s="3"/>
      <c r="B210" s="10">
        <v>196</v>
      </c>
      <c r="C210" s="3"/>
      <c r="D210" s="3"/>
      <c r="E210" s="37" t="s">
        <v>130</v>
      </c>
      <c r="F210" s="48"/>
      <c r="G210" s="48">
        <f t="shared" si="30"/>
        <v>3.6202030537373551E-3</v>
      </c>
      <c r="H210" s="48">
        <f t="shared" ref="H210:K213" si="33">H206*H206/2</f>
        <v>1.0738657807468067E-2</v>
      </c>
      <c r="I210" s="48">
        <f t="shared" si="33"/>
        <v>1.5565320401654899E-2</v>
      </c>
      <c r="J210" s="48">
        <f t="shared" si="33"/>
        <v>0.47252917284946705</v>
      </c>
      <c r="K210" s="48">
        <f t="shared" si="33"/>
        <v>0.47252917284946705</v>
      </c>
      <c r="L210" s="48">
        <f t="shared" ref="L210:M213" si="34">L206*L206/2</f>
        <v>0.47252917284946705</v>
      </c>
      <c r="M210" s="48">
        <f t="shared" si="34"/>
        <v>0.47252917284946705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35">
      <c r="A211" s="3"/>
      <c r="B211" s="10">
        <v>197</v>
      </c>
      <c r="C211" s="3"/>
      <c r="D211" s="3"/>
      <c r="E211" s="37" t="s">
        <v>131</v>
      </c>
      <c r="F211" s="48"/>
      <c r="G211" s="48">
        <f t="shared" si="30"/>
        <v>0.52936875939696637</v>
      </c>
      <c r="H211" s="48">
        <f t="shared" si="33"/>
        <v>0.5209929233295435</v>
      </c>
      <c r="I211" s="48">
        <f t="shared" si="33"/>
        <v>0.51178484056770002</v>
      </c>
      <c r="J211" s="48" t="e">
        <f t="shared" si="33"/>
        <v>#NUM!</v>
      </c>
      <c r="K211" s="48" t="e">
        <f t="shared" si="33"/>
        <v>#NUM!</v>
      </c>
      <c r="L211" s="48" t="e">
        <f t="shared" si="34"/>
        <v>#NUM!</v>
      </c>
      <c r="M211" s="48" t="e">
        <f t="shared" si="34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35">
      <c r="A212" s="3"/>
      <c r="B212" s="10">
        <v>198</v>
      </c>
      <c r="C212" s="3"/>
      <c r="D212" s="3"/>
      <c r="E212" s="37" t="s">
        <v>132</v>
      </c>
      <c r="F212" s="48"/>
      <c r="G212" s="48">
        <f t="shared" si="30"/>
        <v>0.71515640817763348</v>
      </c>
      <c r="H212" s="48">
        <f t="shared" si="33"/>
        <v>0.71515640817763348</v>
      </c>
      <c r="I212" s="48">
        <f t="shared" si="33"/>
        <v>0.71515640817763348</v>
      </c>
      <c r="J212" s="48">
        <f t="shared" si="33"/>
        <v>0.71515640817763348</v>
      </c>
      <c r="K212" s="48">
        <f t="shared" si="33"/>
        <v>0.71515640817763348</v>
      </c>
      <c r="L212" s="48">
        <f t="shared" si="34"/>
        <v>0.71515640817763348</v>
      </c>
      <c r="M212" s="48">
        <f t="shared" si="34"/>
        <v>0.71515640817763348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35">
      <c r="A213" s="3"/>
      <c r="B213" s="10">
        <v>199</v>
      </c>
      <c r="C213" s="3"/>
      <c r="D213" s="3"/>
      <c r="E213" s="37" t="s">
        <v>133</v>
      </c>
      <c r="F213" s="48"/>
      <c r="G213" s="48">
        <f t="shared" si="30"/>
        <v>1.1745367397002986</v>
      </c>
      <c r="H213" s="48">
        <f t="shared" si="33"/>
        <v>1.1403383613943114</v>
      </c>
      <c r="I213" s="48">
        <f t="shared" si="33"/>
        <v>1.211069994409246</v>
      </c>
      <c r="J213" s="48" t="e">
        <f t="shared" si="33"/>
        <v>#NUM!</v>
      </c>
      <c r="K213" s="48" t="e">
        <f t="shared" si="33"/>
        <v>#NUM!</v>
      </c>
      <c r="L213" s="48" t="e">
        <f t="shared" si="34"/>
        <v>#NUM!</v>
      </c>
      <c r="M213" s="48" t="e">
        <f t="shared" si="34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35">
      <c r="A214" s="3"/>
      <c r="B214" s="10">
        <v>200</v>
      </c>
      <c r="C214" s="3"/>
      <c r="D214" s="3"/>
      <c r="E214" s="37" t="s">
        <v>134</v>
      </c>
      <c r="F214" s="48"/>
      <c r="G214" s="48">
        <f t="shared" si="30"/>
        <v>8.7553923939982334E-2</v>
      </c>
      <c r="H214" s="48">
        <f t="shared" ref="H214:M214" si="35">H206*H207</f>
        <v>0.14959631979094157</v>
      </c>
      <c r="I214" s="48">
        <f t="shared" si="35"/>
        <v>0.17850596651256362</v>
      </c>
      <c r="J214" s="48" t="e">
        <f t="shared" si="35"/>
        <v>#NUM!</v>
      </c>
      <c r="K214" s="48" t="e">
        <f t="shared" si="35"/>
        <v>#NUM!</v>
      </c>
      <c r="L214" s="48" t="e">
        <f t="shared" si="35"/>
        <v>#NUM!</v>
      </c>
      <c r="M214" s="48" t="e">
        <f t="shared" si="35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35">
      <c r="A215" s="3"/>
      <c r="B215" s="10">
        <v>201</v>
      </c>
      <c r="C215" s="3"/>
      <c r="D215" s="3"/>
      <c r="E215" s="37" t="s">
        <v>135</v>
      </c>
      <c r="F215" s="48"/>
      <c r="G215" s="48">
        <f t="shared" si="30"/>
        <v>0.10176465816351976</v>
      </c>
      <c r="H215" s="48">
        <f t="shared" ref="H215:M215" si="36">H206*H208</f>
        <v>0.1752691638165432</v>
      </c>
      <c r="I215" s="48">
        <f t="shared" si="36"/>
        <v>0.21101316196466569</v>
      </c>
      <c r="J215" s="48">
        <f t="shared" si="36"/>
        <v>1.1626388364650013</v>
      </c>
      <c r="K215" s="48">
        <f t="shared" si="36"/>
        <v>1.1626388364650013</v>
      </c>
      <c r="L215" s="48">
        <f t="shared" si="36"/>
        <v>1.1626388364650013</v>
      </c>
      <c r="M215" s="48">
        <f t="shared" si="36"/>
        <v>1.1626388364650013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35">
      <c r="A216" s="3"/>
      <c r="B216" s="10">
        <v>202</v>
      </c>
      <c r="C216" s="3"/>
      <c r="D216" s="3"/>
      <c r="E216" s="37" t="s">
        <v>136</v>
      </c>
      <c r="F216" s="48"/>
      <c r="G216" s="48">
        <f t="shared" si="30"/>
        <v>0.13041566611093527</v>
      </c>
      <c r="H216" s="48">
        <f t="shared" ref="H216:M216" si="37">H206*H209</f>
        <v>0.22132061311809495</v>
      </c>
      <c r="I216" s="48">
        <f t="shared" si="37"/>
        <v>0.27459564812145382</v>
      </c>
      <c r="J216" s="48" t="e">
        <f t="shared" si="37"/>
        <v>#NUM!</v>
      </c>
      <c r="K216" s="48" t="e">
        <f t="shared" si="37"/>
        <v>#NUM!</v>
      </c>
      <c r="L216" s="48" t="e">
        <f t="shared" si="37"/>
        <v>#NUM!</v>
      </c>
      <c r="M216" s="48" t="e">
        <f t="shared" si="37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35">
      <c r="A217" s="3"/>
      <c r="B217" s="10">
        <v>203</v>
      </c>
      <c r="C217" s="3"/>
      <c r="D217" s="3"/>
      <c r="E217" s="37" t="s">
        <v>137</v>
      </c>
      <c r="F217" s="48"/>
      <c r="G217" s="48">
        <f t="shared" si="30"/>
        <v>1.2305794741856932</v>
      </c>
      <c r="H217" s="48">
        <f t="shared" ref="H217:M217" si="38">H207*H208</f>
        <v>1.2208053534193262</v>
      </c>
      <c r="I217" s="48">
        <f t="shared" si="38"/>
        <v>1.2099689390065502</v>
      </c>
      <c r="J217" s="48" t="e">
        <f t="shared" si="38"/>
        <v>#NUM!</v>
      </c>
      <c r="K217" s="48" t="e">
        <f t="shared" si="38"/>
        <v>#NUM!</v>
      </c>
      <c r="L217" s="48" t="e">
        <f t="shared" si="38"/>
        <v>#NUM!</v>
      </c>
      <c r="M217" s="48" t="e">
        <f t="shared" si="38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35">
      <c r="A218" s="3"/>
      <c r="B218" s="10">
        <v>204</v>
      </c>
      <c r="C218" s="3"/>
      <c r="D218" s="3"/>
      <c r="E218" s="37" t="s">
        <v>138</v>
      </c>
      <c r="F218" s="48"/>
      <c r="G218" s="48">
        <f t="shared" si="30"/>
        <v>1.5770390696001222</v>
      </c>
      <c r="H218" s="48">
        <f t="shared" ref="H218:M218" si="39">H207*H209</f>
        <v>1.5415683137475857</v>
      </c>
      <c r="I218" s="48">
        <f t="shared" si="39"/>
        <v>1.5745567808180958</v>
      </c>
      <c r="J218" s="48" t="e">
        <f t="shared" si="39"/>
        <v>#NUM!</v>
      </c>
      <c r="K218" s="48" t="e">
        <f t="shared" si="39"/>
        <v>#NUM!</v>
      </c>
      <c r="L218" s="48" t="e">
        <f t="shared" si="39"/>
        <v>#NUM!</v>
      </c>
      <c r="M218" s="48" t="e">
        <f t="shared" si="3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35">
      <c r="A219" s="3"/>
      <c r="B219" s="10">
        <v>205</v>
      </c>
      <c r="C219" s="3"/>
      <c r="D219" s="3"/>
      <c r="E219" s="37" t="s">
        <v>139</v>
      </c>
      <c r="F219" s="48"/>
      <c r="G219" s="48">
        <f t="shared" si="30"/>
        <v>1.8330057021588706</v>
      </c>
      <c r="H219" s="48">
        <f t="shared" ref="H219:M219" si="40">H208*H209</f>
        <v>1.8061232368162743</v>
      </c>
      <c r="I219" s="48">
        <f t="shared" si="40"/>
        <v>1.8612946754916839</v>
      </c>
      <c r="J219" s="48" t="e">
        <f t="shared" si="40"/>
        <v>#NUM!</v>
      </c>
      <c r="K219" s="48" t="e">
        <f t="shared" si="40"/>
        <v>#NUM!</v>
      </c>
      <c r="L219" s="48" t="e">
        <f t="shared" si="40"/>
        <v>#NUM!</v>
      </c>
      <c r="M219" s="48" t="e">
        <f t="shared" si="4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35">
      <c r="A220" s="3"/>
      <c r="B220" s="10">
        <v>206</v>
      </c>
      <c r="C220" s="3"/>
      <c r="D220" s="3"/>
      <c r="E220" s="37" t="s">
        <v>140</v>
      </c>
      <c r="F220" s="48"/>
      <c r="G220" s="48">
        <f t="shared" si="30"/>
        <v>-1.8443352559551738</v>
      </c>
      <c r="H220" s="48">
        <f t="shared" ref="H220:M220" si="41">LN(H156/H198)</f>
        <v>-1.8367087716785504</v>
      </c>
      <c r="I220" s="48">
        <f t="shared" si="41"/>
        <v>-1.8300829789232314</v>
      </c>
      <c r="J220" s="48">
        <f t="shared" si="41"/>
        <v>-1.8907076007396664</v>
      </c>
      <c r="K220" s="48">
        <f t="shared" si="41"/>
        <v>-1.9478660145796149</v>
      </c>
      <c r="L220" s="48">
        <f t="shared" si="41"/>
        <v>-2.0050244284195635</v>
      </c>
      <c r="M220" s="48">
        <f t="shared" si="41"/>
        <v>-2.0621828422595123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35">
      <c r="A221" s="3"/>
      <c r="B221" s="10">
        <v>207</v>
      </c>
      <c r="C221" s="3"/>
      <c r="D221" s="3"/>
      <c r="E221" s="37" t="s">
        <v>141</v>
      </c>
      <c r="F221" s="31"/>
      <c r="G221" s="31">
        <f t="shared" si="30"/>
        <v>0.44849265103425456</v>
      </c>
      <c r="H221" s="31">
        <f t="shared" ref="H221:M221" si="42">H157/H199</f>
        <v>0.73778053328855997</v>
      </c>
      <c r="I221" s="31">
        <f t="shared" si="42"/>
        <v>0.79256107028043665</v>
      </c>
      <c r="J221" s="31">
        <f t="shared" si="42"/>
        <v>0</v>
      </c>
      <c r="K221" s="31">
        <f t="shared" si="42"/>
        <v>0</v>
      </c>
      <c r="L221" s="31">
        <f t="shared" si="42"/>
        <v>0</v>
      </c>
      <c r="M221" s="31">
        <f t="shared" si="42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35">
      <c r="A222" s="3"/>
      <c r="B222" s="10">
        <v>208</v>
      </c>
      <c r="E222" s="56" t="s">
        <v>142</v>
      </c>
      <c r="F222" s="48"/>
      <c r="G222" s="48">
        <f t="shared" si="30"/>
        <v>9</v>
      </c>
      <c r="H222" s="48">
        <f t="shared" ref="H222:M222" si="43">H158</f>
        <v>10</v>
      </c>
      <c r="I222" s="48">
        <f t="shared" si="43"/>
        <v>11</v>
      </c>
      <c r="J222" s="48">
        <f t="shared" si="43"/>
        <v>12</v>
      </c>
      <c r="K222" s="48">
        <f t="shared" si="43"/>
        <v>13</v>
      </c>
      <c r="L222" s="48">
        <f t="shared" si="43"/>
        <v>14</v>
      </c>
      <c r="M222" s="48">
        <f t="shared" si="43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35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35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35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35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44">HLOOKUP($E$3,$P$3:$CI$269,O226,FALSE)</f>
        <v>12.815763359841434</v>
      </c>
      <c r="H226" s="50">
        <f t="shared" ref="H226:K241" si="45">H162*H205</f>
        <v>12.815763359841434</v>
      </c>
      <c r="I226" s="50">
        <f t="shared" si="45"/>
        <v>12.815763359841434</v>
      </c>
      <c r="J226" s="50">
        <f t="shared" si="45"/>
        <v>12.815763359841434</v>
      </c>
      <c r="K226" s="50">
        <f t="shared" si="45"/>
        <v>12.815763359841434</v>
      </c>
      <c r="L226" s="50">
        <f t="shared" ref="L226:M243" si="46">L162*L205</f>
        <v>12.815763359841434</v>
      </c>
      <c r="M226" s="50">
        <f t="shared" si="46"/>
        <v>12.815763359841434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35">
      <c r="A227" s="3"/>
      <c r="B227" s="10">
        <v>213</v>
      </c>
      <c r="C227" s="3"/>
      <c r="D227" s="3"/>
      <c r="E227" s="37" t="s">
        <v>126</v>
      </c>
      <c r="F227" s="50"/>
      <c r="G227" s="50">
        <f t="shared" si="44"/>
        <v>-5.3475333725234248E-2</v>
      </c>
      <c r="H227" s="50">
        <f t="shared" si="45"/>
        <v>-9.2100511080891623E-2</v>
      </c>
      <c r="I227" s="50">
        <f t="shared" si="45"/>
        <v>-0.11088328168258371</v>
      </c>
      <c r="J227" s="50">
        <f t="shared" si="45"/>
        <v>-0.61094392595494784</v>
      </c>
      <c r="K227" s="50">
        <f t="shared" si="45"/>
        <v>-0.61094392595494784</v>
      </c>
      <c r="L227" s="50">
        <f t="shared" si="46"/>
        <v>-0.61094392595494784</v>
      </c>
      <c r="M227" s="50">
        <f t="shared" si="46"/>
        <v>-0.61094392595494784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35">
      <c r="A228" s="3"/>
      <c r="B228" s="10">
        <v>214</v>
      </c>
      <c r="C228" s="3"/>
      <c r="D228" s="3"/>
      <c r="E228" s="37" t="s">
        <v>127</v>
      </c>
      <c r="F228" s="50"/>
      <c r="G228" s="50">
        <f t="shared" si="44"/>
        <v>-0.45626454427520574</v>
      </c>
      <c r="H228" s="50">
        <f t="shared" si="45"/>
        <v>-0.45264057292617255</v>
      </c>
      <c r="I228" s="50">
        <f t="shared" si="45"/>
        <v>-0.44862273272377984</v>
      </c>
      <c r="J228" s="50" t="e">
        <f t="shared" si="45"/>
        <v>#NUM!</v>
      </c>
      <c r="K228" s="50" t="e">
        <f t="shared" si="45"/>
        <v>#NUM!</v>
      </c>
      <c r="L228" s="50" t="e">
        <f t="shared" si="46"/>
        <v>#NUM!</v>
      </c>
      <c r="M228" s="50" t="e">
        <f t="shared" si="46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35">
      <c r="A229" s="3"/>
      <c r="B229" s="10">
        <v>215</v>
      </c>
      <c r="C229" s="3"/>
      <c r="D229" s="3"/>
      <c r="E229" s="37" t="s">
        <v>128</v>
      </c>
      <c r="F229" s="50"/>
      <c r="G229" s="50">
        <f t="shared" si="44"/>
        <v>-0.19421356134029985</v>
      </c>
      <c r="H229" s="50">
        <f t="shared" si="45"/>
        <v>-0.19421356134029985</v>
      </c>
      <c r="I229" s="50">
        <f t="shared" si="45"/>
        <v>-0.19421356134029985</v>
      </c>
      <c r="J229" s="50">
        <f t="shared" si="45"/>
        <v>-0.19421356134029985</v>
      </c>
      <c r="K229" s="50">
        <f t="shared" si="45"/>
        <v>-0.19421356134029985</v>
      </c>
      <c r="L229" s="50">
        <f t="shared" si="46"/>
        <v>-0.19421356134029985</v>
      </c>
      <c r="M229" s="50">
        <f t="shared" si="46"/>
        <v>-0.19421356134029985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35">
      <c r="A230" s="3"/>
      <c r="B230" s="10">
        <v>216</v>
      </c>
      <c r="C230" s="3"/>
      <c r="D230" s="3"/>
      <c r="E230" s="37" t="s">
        <v>129</v>
      </c>
      <c r="F230" s="50"/>
      <c r="G230" s="50">
        <f t="shared" si="44"/>
        <v>-0.15963883920324834</v>
      </c>
      <c r="H230" s="50">
        <f t="shared" si="45"/>
        <v>-0.15729761050049021</v>
      </c>
      <c r="I230" s="50">
        <f t="shared" si="45"/>
        <v>-0.16210256250742741</v>
      </c>
      <c r="J230" s="50" t="e">
        <f t="shared" si="45"/>
        <v>#NUM!</v>
      </c>
      <c r="K230" s="50" t="e">
        <f t="shared" si="45"/>
        <v>#NUM!</v>
      </c>
      <c r="L230" s="50" t="e">
        <f t="shared" si="46"/>
        <v>#NUM!</v>
      </c>
      <c r="M230" s="50" t="e">
        <f t="shared" si="46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35">
      <c r="A231" s="3"/>
      <c r="B231" s="10">
        <v>217</v>
      </c>
      <c r="C231" s="3"/>
      <c r="D231" s="3"/>
      <c r="E231" s="37" t="s">
        <v>130</v>
      </c>
      <c r="F231" s="50"/>
      <c r="G231" s="50">
        <f t="shared" si="44"/>
        <v>4.4643806280745711E-4</v>
      </c>
      <c r="H231" s="50">
        <f t="shared" si="45"/>
        <v>1.3242753286363126E-3</v>
      </c>
      <c r="I231" s="50">
        <f t="shared" si="45"/>
        <v>1.9194921897870837E-3</v>
      </c>
      <c r="J231" s="50">
        <f t="shared" si="45"/>
        <v>5.8271595657913303E-2</v>
      </c>
      <c r="K231" s="50">
        <f t="shared" si="45"/>
        <v>5.8271595657913303E-2</v>
      </c>
      <c r="L231" s="50">
        <f t="shared" si="46"/>
        <v>5.8271595657913303E-2</v>
      </c>
      <c r="M231" s="50">
        <f t="shared" si="46"/>
        <v>5.8271595657913303E-2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35">
      <c r="A232" s="3"/>
      <c r="B232" s="10">
        <v>218</v>
      </c>
      <c r="C232" s="3"/>
      <c r="D232" s="3"/>
      <c r="E232" s="37" t="s">
        <v>131</v>
      </c>
      <c r="F232" s="50"/>
      <c r="G232" s="50">
        <f t="shared" si="44"/>
        <v>-0.1990733750076773</v>
      </c>
      <c r="H232" s="50">
        <f t="shared" si="45"/>
        <v>-0.1959235745616662</v>
      </c>
      <c r="I232" s="50">
        <f t="shared" si="45"/>
        <v>-0.1924608010598102</v>
      </c>
      <c r="J232" s="50" t="e">
        <f t="shared" si="45"/>
        <v>#NUM!</v>
      </c>
      <c r="K232" s="50" t="e">
        <f t="shared" si="45"/>
        <v>#NUM!</v>
      </c>
      <c r="L232" s="50" t="e">
        <f t="shared" si="46"/>
        <v>#NUM!</v>
      </c>
      <c r="M232" s="50" t="e">
        <f t="shared" si="4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35">
      <c r="A233" s="3"/>
      <c r="B233" s="10">
        <v>219</v>
      </c>
      <c r="C233" s="3"/>
      <c r="D233" s="3"/>
      <c r="E233" s="37" t="s">
        <v>132</v>
      </c>
      <c r="F233" s="50"/>
      <c r="G233" s="50">
        <f t="shared" si="44"/>
        <v>0.1307061003957907</v>
      </c>
      <c r="H233" s="50">
        <f t="shared" si="45"/>
        <v>0.1307061003957907</v>
      </c>
      <c r="I233" s="50">
        <f t="shared" si="45"/>
        <v>0.1307061003957907</v>
      </c>
      <c r="J233" s="50">
        <f t="shared" si="45"/>
        <v>0.1307061003957907</v>
      </c>
      <c r="K233" s="50">
        <f t="shared" si="45"/>
        <v>0.1307061003957907</v>
      </c>
      <c r="L233" s="50">
        <f t="shared" si="46"/>
        <v>0.1307061003957907</v>
      </c>
      <c r="M233" s="50">
        <f t="shared" si="46"/>
        <v>0.1307061003957907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35">
      <c r="A234" s="3"/>
      <c r="B234" s="10">
        <v>220</v>
      </c>
      <c r="C234" s="3"/>
      <c r="D234" s="3"/>
      <c r="E234" s="37" t="s">
        <v>133</v>
      </c>
      <c r="F234" s="50"/>
      <c r="G234" s="50">
        <f t="shared" si="44"/>
        <v>0.19231383348901882</v>
      </c>
      <c r="H234" s="50">
        <f t="shared" si="45"/>
        <v>0.18671433114155689</v>
      </c>
      <c r="I234" s="50">
        <f t="shared" si="45"/>
        <v>0.19829563893233018</v>
      </c>
      <c r="J234" s="50" t="e">
        <f t="shared" si="45"/>
        <v>#NUM!</v>
      </c>
      <c r="K234" s="50" t="e">
        <f t="shared" si="45"/>
        <v>#NUM!</v>
      </c>
      <c r="L234" s="50" t="e">
        <f t="shared" si="46"/>
        <v>#NUM!</v>
      </c>
      <c r="M234" s="50" t="e">
        <f t="shared" si="46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35">
      <c r="A235" s="3"/>
      <c r="B235" s="10">
        <v>221</v>
      </c>
      <c r="C235" s="3"/>
      <c r="D235" s="3"/>
      <c r="E235" s="37" t="s">
        <v>134</v>
      </c>
      <c r="F235" s="50"/>
      <c r="G235" s="50">
        <f t="shared" si="44"/>
        <v>4.9021560047002206E-3</v>
      </c>
      <c r="H235" s="50">
        <f t="shared" si="45"/>
        <v>8.3759181124414446E-3</v>
      </c>
      <c r="I235" s="50">
        <f t="shared" si="45"/>
        <v>9.9945731297460885E-3</v>
      </c>
      <c r="J235" s="50" t="e">
        <f t="shared" si="45"/>
        <v>#NUM!</v>
      </c>
      <c r="K235" s="50" t="e">
        <f t="shared" si="45"/>
        <v>#NUM!</v>
      </c>
      <c r="L235" s="50" t="e">
        <f t="shared" si="46"/>
        <v>#NUM!</v>
      </c>
      <c r="M235" s="50" t="e">
        <f t="shared" si="46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35">
      <c r="A236" s="3"/>
      <c r="B236" s="10">
        <v>222</v>
      </c>
      <c r="C236" s="3"/>
      <c r="D236" s="3"/>
      <c r="E236" s="37" t="s">
        <v>135</v>
      </c>
      <c r="F236" s="50"/>
      <c r="G236" s="50">
        <f t="shared" si="44"/>
        <v>8.9174728179911261E-4</v>
      </c>
      <c r="H236" s="50">
        <f t="shared" si="45"/>
        <v>1.5358554063579035E-3</v>
      </c>
      <c r="I236" s="50">
        <f t="shared" si="45"/>
        <v>1.849074295552257E-3</v>
      </c>
      <c r="J236" s="50">
        <f t="shared" si="45"/>
        <v>1.0188016555470622E-2</v>
      </c>
      <c r="K236" s="50">
        <f t="shared" si="45"/>
        <v>1.0188016555470622E-2</v>
      </c>
      <c r="L236" s="50">
        <f t="shared" si="46"/>
        <v>1.0188016555470622E-2</v>
      </c>
      <c r="M236" s="50">
        <f t="shared" si="46"/>
        <v>1.0188016555470622E-2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35">
      <c r="A237" s="3"/>
      <c r="B237" s="10">
        <v>223</v>
      </c>
      <c r="C237" s="3"/>
      <c r="D237" s="3"/>
      <c r="E237" s="37" t="s">
        <v>136</v>
      </c>
      <c r="F237" s="50"/>
      <c r="G237" s="50">
        <f t="shared" si="44"/>
        <v>-1.7838064199287668E-4</v>
      </c>
      <c r="H237" s="50">
        <f t="shared" si="45"/>
        <v>-3.0271909987164141E-4</v>
      </c>
      <c r="I237" s="50">
        <f t="shared" si="45"/>
        <v>-3.7558791409836485E-4</v>
      </c>
      <c r="J237" s="50" t="e">
        <f t="shared" si="45"/>
        <v>#NUM!</v>
      </c>
      <c r="K237" s="50" t="e">
        <f t="shared" si="45"/>
        <v>#NUM!</v>
      </c>
      <c r="L237" s="50" t="e">
        <f t="shared" si="46"/>
        <v>#NUM!</v>
      </c>
      <c r="M237" s="50" t="e">
        <f t="shared" si="46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35">
      <c r="A238" s="3"/>
      <c r="B238" s="10">
        <v>224</v>
      </c>
      <c r="C238" s="3"/>
      <c r="D238" s="3"/>
      <c r="E238" s="37" t="s">
        <v>137</v>
      </c>
      <c r="F238" s="50"/>
      <c r="G238" s="50">
        <f t="shared" si="44"/>
        <v>0.17687363554381355</v>
      </c>
      <c r="H238" s="50">
        <f t="shared" si="45"/>
        <v>0.1754687817245707</v>
      </c>
      <c r="I238" s="50">
        <f t="shared" si="45"/>
        <v>0.17391124232654412</v>
      </c>
      <c r="J238" s="50" t="e">
        <f t="shared" si="45"/>
        <v>#NUM!</v>
      </c>
      <c r="K238" s="50" t="e">
        <f t="shared" si="45"/>
        <v>#NUM!</v>
      </c>
      <c r="L238" s="50" t="e">
        <f t="shared" si="46"/>
        <v>#NUM!</v>
      </c>
      <c r="M238" s="50" t="e">
        <f t="shared" si="46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35">
      <c r="A239" s="3"/>
      <c r="B239" s="10">
        <v>225</v>
      </c>
      <c r="C239" s="3"/>
      <c r="D239" s="3"/>
      <c r="E239" s="37" t="s">
        <v>138</v>
      </c>
      <c r="F239" s="50"/>
      <c r="G239" s="50">
        <f t="shared" si="44"/>
        <v>9.9218199988243758E-2</v>
      </c>
      <c r="H239" s="50">
        <f t="shared" si="45"/>
        <v>9.698658466827359E-2</v>
      </c>
      <c r="I239" s="50">
        <f t="shared" si="45"/>
        <v>9.9062028698926163E-2</v>
      </c>
      <c r="J239" s="50" t="e">
        <f t="shared" si="45"/>
        <v>#NUM!</v>
      </c>
      <c r="K239" s="50" t="e">
        <f t="shared" si="45"/>
        <v>#NUM!</v>
      </c>
      <c r="L239" s="50" t="e">
        <f t="shared" si="46"/>
        <v>#NUM!</v>
      </c>
      <c r="M239" s="50" t="e">
        <f t="shared" si="46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35">
      <c r="A240" s="3"/>
      <c r="B240" s="10">
        <v>226</v>
      </c>
      <c r="C240" s="3"/>
      <c r="D240" s="3"/>
      <c r="E240" s="37" t="s">
        <v>139</v>
      </c>
      <c r="F240" s="50"/>
      <c r="G240" s="50">
        <f t="shared" si="44"/>
        <v>-0.3558578648318656</v>
      </c>
      <c r="H240" s="50">
        <f t="shared" si="45"/>
        <v>-0.35063893032066035</v>
      </c>
      <c r="I240" s="50">
        <f t="shared" si="45"/>
        <v>-0.36134985737539344</v>
      </c>
      <c r="J240" s="50" t="e">
        <f t="shared" si="45"/>
        <v>#NUM!</v>
      </c>
      <c r="K240" s="50" t="e">
        <f t="shared" si="45"/>
        <v>#NUM!</v>
      </c>
      <c r="L240" s="50" t="e">
        <f t="shared" si="46"/>
        <v>#NUM!</v>
      </c>
      <c r="M240" s="50" t="e">
        <f t="shared" si="46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35">
      <c r="A241" s="3"/>
      <c r="B241" s="10">
        <v>227</v>
      </c>
      <c r="C241" s="3"/>
      <c r="D241" s="3"/>
      <c r="E241" s="37" t="s">
        <v>140</v>
      </c>
      <c r="F241" s="50"/>
      <c r="G241" s="50">
        <f t="shared" si="44"/>
        <v>-0.52285282445082248</v>
      </c>
      <c r="H241" s="50">
        <f t="shared" si="45"/>
        <v>-0.52069078323202178</v>
      </c>
      <c r="I241" s="50">
        <f t="shared" si="45"/>
        <v>-0.51881242925860049</v>
      </c>
      <c r="J241" s="50">
        <f t="shared" si="45"/>
        <v>-0.53599897636040161</v>
      </c>
      <c r="K241" s="50">
        <f t="shared" si="45"/>
        <v>-0.55220288398557393</v>
      </c>
      <c r="L241" s="50">
        <f t="shared" si="46"/>
        <v>-0.56840679161074614</v>
      </c>
      <c r="M241" s="50">
        <f t="shared" si="46"/>
        <v>-0.58461069923591857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35">
      <c r="A242" s="3"/>
      <c r="B242" s="10">
        <v>228</v>
      </c>
      <c r="C242" s="3"/>
      <c r="D242" s="3"/>
      <c r="E242" s="37" t="s">
        <v>141</v>
      </c>
      <c r="F242" s="50"/>
      <c r="G242" s="50">
        <f t="shared" si="44"/>
        <v>7.2798835826562089E-3</v>
      </c>
      <c r="H242" s="50">
        <f t="shared" ref="H242:K243" si="47">H178*H221</f>
        <v>1.1975572798138252E-2</v>
      </c>
      <c r="I242" s="50">
        <f t="shared" si="47"/>
        <v>1.286476447380251E-2</v>
      </c>
      <c r="J242" s="50">
        <f t="shared" si="47"/>
        <v>0</v>
      </c>
      <c r="K242" s="50">
        <f t="shared" si="47"/>
        <v>0</v>
      </c>
      <c r="L242" s="50">
        <f t="shared" si="46"/>
        <v>0</v>
      </c>
      <c r="M242" s="50">
        <f t="shared" si="4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35">
      <c r="A243" s="3"/>
      <c r="B243" s="10">
        <v>229</v>
      </c>
      <c r="C243" s="3"/>
      <c r="D243" s="3"/>
      <c r="E243" s="37" t="s">
        <v>142</v>
      </c>
      <c r="F243" s="50"/>
      <c r="G243" s="50">
        <f t="shared" si="44"/>
        <v>0.15248853171663998</v>
      </c>
      <c r="H243" s="50">
        <f t="shared" si="47"/>
        <v>0.16943170190737777</v>
      </c>
      <c r="I243" s="50">
        <f t="shared" si="47"/>
        <v>0.18637487209811554</v>
      </c>
      <c r="J243" s="50">
        <f t="shared" si="47"/>
        <v>0.20331804228885331</v>
      </c>
      <c r="K243" s="50">
        <f t="shared" si="47"/>
        <v>0.2202612124795911</v>
      </c>
      <c r="L243" s="50">
        <f t="shared" si="46"/>
        <v>0.23720438267032887</v>
      </c>
      <c r="M243" s="50">
        <f t="shared" si="46"/>
        <v>0.25414755286106666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35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35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11.639329162430558</v>
      </c>
      <c r="H245" s="44">
        <f t="shared" ref="H245:M245" si="48">SUM(H226:H243)</f>
        <v>11.634474218262504</v>
      </c>
      <c r="I245" s="44">
        <f t="shared" si="48"/>
        <v>11.641920332520034</v>
      </c>
      <c r="J245" s="44" t="e">
        <f t="shared" si="48"/>
        <v>#NUM!</v>
      </c>
      <c r="K245" s="44" t="e">
        <f t="shared" si="48"/>
        <v>#NUM!</v>
      </c>
      <c r="L245" s="44" t="e">
        <f t="shared" si="48"/>
        <v>#NUM!</v>
      </c>
      <c r="M245" s="44" t="e">
        <f t="shared" si="48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35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113474.01675540091</v>
      </c>
      <c r="H246" s="8">
        <f t="shared" ref="H246:M246" si="49">EXP(H245)</f>
        <v>112924.44189663467</v>
      </c>
      <c r="I246" s="8">
        <f t="shared" si="49"/>
        <v>113768.42850428166</v>
      </c>
      <c r="J246" s="8" t="e">
        <f t="shared" si="49"/>
        <v>#NUM!</v>
      </c>
      <c r="K246" s="8" t="e">
        <f t="shared" si="49"/>
        <v>#NUM!</v>
      </c>
      <c r="L246" s="8" t="e">
        <f t="shared" si="49"/>
        <v>#NUM!</v>
      </c>
      <c r="M246" s="8" t="e">
        <f t="shared" si="49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35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118.73891565216782</v>
      </c>
      <c r="H247" s="21">
        <f t="shared" ref="H247:M247" si="50">H137</f>
        <v>121.46159231554574</v>
      </c>
      <c r="I247" s="21">
        <f t="shared" si="50"/>
        <v>124.24669980181427</v>
      </c>
      <c r="J247" s="21">
        <f t="shared" si="50"/>
        <v>124.24669980181427</v>
      </c>
      <c r="K247" s="21">
        <f t="shared" si="50"/>
        <v>124.24669980181427</v>
      </c>
      <c r="L247" s="21">
        <f t="shared" si="50"/>
        <v>124.24669980181427</v>
      </c>
      <c r="M247" s="21">
        <f t="shared" si="50"/>
        <v>124.24669980181427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35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13473781.704232227</v>
      </c>
      <c r="H248" s="8">
        <f t="shared" ref="H248:M248" si="51">H246*H247</f>
        <v>13715982.524109574</v>
      </c>
      <c r="I248" s="8">
        <f t="shared" si="51"/>
        <v>14135351.783295654</v>
      </c>
      <c r="J248" s="8" t="e">
        <f t="shared" si="51"/>
        <v>#NUM!</v>
      </c>
      <c r="K248" s="8" t="e">
        <f t="shared" si="51"/>
        <v>#NUM!</v>
      </c>
      <c r="L248" s="8" t="e">
        <f t="shared" si="51"/>
        <v>#NUM!</v>
      </c>
      <c r="M248" s="8" t="e">
        <f t="shared" si="51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35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35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35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35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2.75" thickBot="1" x14ac:dyDescent="0.4">
      <c r="A253" s="227" t="s">
        <v>151</v>
      </c>
      <c r="B253" s="227"/>
      <c r="C253" s="227"/>
      <c r="D253" s="227"/>
      <c r="E253" s="227"/>
      <c r="F253" s="227"/>
      <c r="G253" s="227"/>
      <c r="H253" s="227"/>
      <c r="I253" s="227"/>
      <c r="J253" s="227"/>
      <c r="K253" s="227"/>
      <c r="L253" s="227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2.75" thickTop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35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:M256" si="52">G121</f>
        <v>11180484.486032763</v>
      </c>
      <c r="H256" s="60">
        <f t="shared" si="52"/>
        <v>11490212.584814202</v>
      </c>
      <c r="I256" s="60">
        <f t="shared" si="52"/>
        <v>11684230.856394451</v>
      </c>
      <c r="J256" s="60">
        <f t="shared" si="52"/>
        <v>2108071.3993569929</v>
      </c>
      <c r="K256" s="60">
        <f t="shared" si="52"/>
        <v>2011310.9221265072</v>
      </c>
      <c r="L256" s="60">
        <f t="shared" si="52"/>
        <v>1918991.7508009006</v>
      </c>
      <c r="M256" s="60">
        <f t="shared" si="52"/>
        <v>1830910.0294391392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35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:M257" si="53">G248</f>
        <v>13473781.704232227</v>
      </c>
      <c r="H257" s="60">
        <f t="shared" si="53"/>
        <v>13715982.524109574</v>
      </c>
      <c r="I257" s="60">
        <f t="shared" si="53"/>
        <v>14135351.783295654</v>
      </c>
      <c r="J257" s="60" t="e">
        <f t="shared" si="53"/>
        <v>#NUM!</v>
      </c>
      <c r="K257" s="60" t="e">
        <f t="shared" si="53"/>
        <v>#NUM!</v>
      </c>
      <c r="L257" s="60" t="e">
        <f t="shared" si="53"/>
        <v>#NUM!</v>
      </c>
      <c r="M257" s="60" t="e">
        <f t="shared" si="53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35">
      <c r="A258" s="38"/>
      <c r="B258" s="38">
        <v>239</v>
      </c>
      <c r="C258" s="3" t="s">
        <v>152</v>
      </c>
      <c r="E258" s="37"/>
      <c r="F258" s="25"/>
      <c r="G258" s="25">
        <f t="shared" ref="G258:M258" si="54">G256-G257</f>
        <v>-2293297.2181994636</v>
      </c>
      <c r="H258" s="25">
        <f t="shared" si="54"/>
        <v>-2225769.939295372</v>
      </c>
      <c r="I258" s="25">
        <f t="shared" si="54"/>
        <v>-2451120.9269012026</v>
      </c>
      <c r="J258" s="25" t="e">
        <f t="shared" si="54"/>
        <v>#NUM!</v>
      </c>
      <c r="K258" s="25" t="e">
        <f t="shared" si="54"/>
        <v>#NUM!</v>
      </c>
      <c r="L258" s="25" t="e">
        <f t="shared" si="54"/>
        <v>#NUM!</v>
      </c>
      <c r="M258" s="25" t="e">
        <f t="shared" si="5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35">
      <c r="A259" s="38"/>
      <c r="B259" s="38">
        <v>240</v>
      </c>
      <c r="C259" s="3" t="s">
        <v>153</v>
      </c>
      <c r="F259" s="61"/>
      <c r="G259" s="61">
        <f t="shared" ref="G259:M259" si="55">G258/G257</f>
        <v>-0.17020442133770949</v>
      </c>
      <c r="H259" s="61">
        <f t="shared" si="55"/>
        <v>-0.16227564706961206</v>
      </c>
      <c r="I259" s="61">
        <f t="shared" si="55"/>
        <v>-0.17340360285888295</v>
      </c>
      <c r="J259" s="61" t="e">
        <f t="shared" si="55"/>
        <v>#NUM!</v>
      </c>
      <c r="K259" s="61" t="e">
        <f t="shared" si="55"/>
        <v>#NUM!</v>
      </c>
      <c r="L259" s="61" t="e">
        <f t="shared" si="55"/>
        <v>#NUM!</v>
      </c>
      <c r="M259" s="61" t="e">
        <f t="shared" si="55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2.75" thickBot="1" x14ac:dyDescent="0.4">
      <c r="A260" s="3"/>
      <c r="B260" s="38">
        <v>241</v>
      </c>
      <c r="M260" s="92"/>
      <c r="O260" s="114">
        <v>258</v>
      </c>
      <c r="P260" s="114">
        <v>0</v>
      </c>
    </row>
    <row r="261" spans="1:90" ht="12.75" thickBot="1" x14ac:dyDescent="0.4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-0.1865758992943703</v>
      </c>
      <c r="H261" s="64">
        <f t="shared" ref="H261:M261" si="56">LN(H256/H257)</f>
        <v>-0.17706616706146772</v>
      </c>
      <c r="I261" s="64">
        <f t="shared" si="56"/>
        <v>-0.19043873556254381</v>
      </c>
      <c r="J261" s="64" t="e">
        <f t="shared" si="56"/>
        <v>#NUM!</v>
      </c>
      <c r="K261" s="64" t="e">
        <f t="shared" si="56"/>
        <v>#NUM!</v>
      </c>
      <c r="L261" s="64" t="e">
        <f t="shared" si="56"/>
        <v>#NUM!</v>
      </c>
      <c r="M261" s="64" t="e">
        <f t="shared" si="56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35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35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35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35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35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35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2.75" hidden="1" thickBot="1" x14ac:dyDescent="0.4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2.75" hidden="1" thickBot="1" x14ac:dyDescent="0.4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35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35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35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35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workbookViewId="0">
      <selection activeCell="C2" sqref="C2:K24"/>
    </sheetView>
  </sheetViews>
  <sheetFormatPr defaultRowHeight="12.4" x14ac:dyDescent="0.35"/>
  <cols>
    <col min="3" max="3" width="3.140625" customWidth="1"/>
    <col min="4" max="4" width="4.5703125" customWidth="1"/>
    <col min="5" max="5" width="45.5703125" customWidth="1"/>
    <col min="6" max="8" width="13.5703125" bestFit="1" customWidth="1"/>
    <col min="9" max="10" width="13.5703125" hidden="1" customWidth="1"/>
    <col min="11" max="11" width="13.7109375" hidden="1" customWidth="1"/>
    <col min="12" max="13" width="9.28515625" bestFit="1" customWidth="1"/>
  </cols>
  <sheetData>
    <row r="2" spans="3:17" ht="22.9" x14ac:dyDescent="0.65">
      <c r="C2" s="223" t="s">
        <v>168</v>
      </c>
      <c r="D2" s="223"/>
      <c r="E2" s="223"/>
      <c r="F2" s="223"/>
      <c r="G2" s="223"/>
      <c r="H2" s="223"/>
      <c r="I2" s="223"/>
      <c r="J2" s="223"/>
      <c r="K2" s="223"/>
    </row>
    <row r="3" spans="3:17" s="92" customFormat="1" ht="23.25" customHeight="1" x14ac:dyDescent="0.45">
      <c r="C3" s="233" t="str">
        <f>'Model Inputs'!F5</f>
        <v>Welland Hydro-Electric System Corp.</v>
      </c>
      <c r="D3" s="233"/>
      <c r="E3" s="233"/>
      <c r="F3" s="233"/>
      <c r="G3" s="233"/>
      <c r="H3" s="233"/>
      <c r="I3" s="233"/>
      <c r="J3" s="233"/>
      <c r="K3" s="233"/>
    </row>
    <row r="4" spans="3:17" s="92" customFormat="1" ht="19.149999999999999" x14ac:dyDescent="0.6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35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35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35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35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35">
      <c r="D10" t="s">
        <v>162</v>
      </c>
      <c r="F10" s="86">
        <f>'Benchmarking Calculations'!G121</f>
        <v>11180484.486032763</v>
      </c>
      <c r="G10" s="86">
        <f>'Benchmarking Calculations'!H121</f>
        <v>11490212.584814202</v>
      </c>
      <c r="H10" s="86">
        <f>'Benchmarking Calculations'!I121</f>
        <v>11684230.856394451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35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35">
      <c r="D12" t="s">
        <v>150</v>
      </c>
      <c r="F12" s="86">
        <f>'Benchmarking Calculations'!G257</f>
        <v>13473781.704232227</v>
      </c>
      <c r="G12" s="86">
        <f>'Benchmarking Calculations'!H257</f>
        <v>13715982.524109574</v>
      </c>
      <c r="H12" s="86">
        <f>'Benchmarking Calculations'!I257</f>
        <v>14135351.783295654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35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35">
      <c r="D14" t="s">
        <v>160</v>
      </c>
      <c r="F14" s="86">
        <f>F10-F12</f>
        <v>-2293297.2181994636</v>
      </c>
      <c r="G14" s="86">
        <f>G10-G12</f>
        <v>-2225769.939295372</v>
      </c>
      <c r="H14" s="86">
        <f>H10-H12</f>
        <v>-2451120.9269012026</v>
      </c>
      <c r="I14" s="91" t="str">
        <f>IF(ISNUMBER(I12),I10-I12,"na")</f>
        <v>na</v>
      </c>
      <c r="J14" s="91" t="str">
        <f>IF(ISNUMBER(J12),J10-J12,"na")</f>
        <v>na</v>
      </c>
      <c r="K14" s="91" t="str">
        <f>IF(ISNUMBER(K12),K10-K12,"na")</f>
        <v>na</v>
      </c>
      <c r="L14" s="86"/>
      <c r="M14" s="86"/>
      <c r="N14" s="86"/>
      <c r="O14" s="86"/>
      <c r="P14" s="24"/>
      <c r="Q14" s="24"/>
    </row>
    <row r="15" spans="3:17" ht="18.75" customHeight="1" x14ac:dyDescent="0.35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35">
      <c r="D16" s="11" t="s">
        <v>184</v>
      </c>
      <c r="E16" s="11"/>
      <c r="F16" s="167">
        <f>LN(F10/F12)</f>
        <v>-0.1865758992943703</v>
      </c>
      <c r="G16" s="167">
        <f>LN(G10/G12)</f>
        <v>-0.17706616706146772</v>
      </c>
      <c r="H16" s="167">
        <f>LN(H10/H12)</f>
        <v>-0.19043873556254381</v>
      </c>
      <c r="I16" s="148" t="str">
        <f>IF(ISNUMBER(I14),LN(I10/I12),"na")</f>
        <v>na</v>
      </c>
      <c r="J16" s="148" t="str">
        <f>IF(ISNUMBER(J14),LN(J10/J12),"na")</f>
        <v>na</v>
      </c>
      <c r="K16" s="148" t="str">
        <f>IF(ISNUMBER(K14),LN(K10/K12),"na")</f>
        <v>na</v>
      </c>
      <c r="L16" s="26"/>
      <c r="M16" s="26"/>
      <c r="N16" s="26"/>
      <c r="O16" s="26"/>
    </row>
    <row r="17" spans="4:15" ht="18.75" customHeight="1" x14ac:dyDescent="0.35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35">
      <c r="D18" t="s">
        <v>181</v>
      </c>
      <c r="F18" s="169"/>
      <c r="G18" s="169"/>
      <c r="H18" s="169">
        <f>AVERAGE(F16:H16)</f>
        <v>-0.18469360063946061</v>
      </c>
      <c r="I18" s="66" t="str">
        <f>IF(ISNUMBER(I16),AVERAGE(G16:I16),"na")</f>
        <v>na</v>
      </c>
      <c r="J18" s="66" t="str">
        <f>IF(ISNUMBER(J16),AVERAGE(H16:J16),"na")</f>
        <v>na</v>
      </c>
      <c r="K18" s="66" t="str">
        <f>IF(ISNUMBER(K16),AVERAGE(I16:K16),"na")</f>
        <v>na</v>
      </c>
      <c r="L18" s="26"/>
      <c r="M18" s="26"/>
      <c r="N18" s="26"/>
      <c r="O18" s="26"/>
    </row>
    <row r="19" spans="4:15" ht="18.75" customHeight="1" x14ac:dyDescent="0.35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8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4.25" x14ac:dyDescent="0.45">
      <c r="E22" t="s">
        <v>182</v>
      </c>
      <c r="F22" s="149">
        <f>IF(F16&lt;-0.25,1,IF(F16&lt;-0.1,2,IF(F16&lt;0.1,3,IF(F16&lt;0.25,4,5))))</f>
        <v>2</v>
      </c>
      <c r="G22" s="149">
        <f>IF(G16&lt;-0.25,1,IF(G16&lt;-0.1,2,IF(G16&lt;0.1,3,IF(G16&lt;0.25,4,5))))</f>
        <v>2</v>
      </c>
      <c r="H22" s="149">
        <f>IF($H$16&lt;-0.25,1,IF($H$16&lt;-0.1,2,IF($H$16&lt;0.1,3,IF($H$16&lt;0.25,4,5))))</f>
        <v>2</v>
      </c>
      <c r="I22" s="149" t="str">
        <f>IF(ISNUMBER(I16),IF(I16&lt;-0.25,1,IF(I16&lt;-0.1,2,IF(I16&lt;0.1,3,IF(I16&lt;0.25,4,5)))),"na")</f>
        <v>na</v>
      </c>
      <c r="J22" s="149" t="str">
        <f>IF(ISNUMBER(J16),IF(J16&lt;-0.25,1,IF(J16&lt;-0.1,2,IF(J16&lt;0.1,3,IF(J16&lt;0.25,4,5)))),"na")</f>
        <v>na</v>
      </c>
      <c r="K22" s="149" t="str">
        <f>IF(ISNUMBER(K16),IF(K16&lt;-0.25,1,IF(K16&lt;-0.1,2,IF(K16&lt;0.1,3,IF(K16&lt;0.25,4,5)))),"na")</f>
        <v>na</v>
      </c>
    </row>
    <row r="24" spans="4:15" ht="14.25" x14ac:dyDescent="0.45">
      <c r="E24" t="s">
        <v>155</v>
      </c>
      <c r="H24" s="149">
        <f>IF($H$18&lt;-0.25,1,IF($H$18&lt;-0.1,2,IF($H$18&lt;0.1,3,IF($H$18&lt;0.25,4,5))))</f>
        <v>2</v>
      </c>
    </row>
    <row r="27" spans="4:15" x14ac:dyDescent="0.35">
      <c r="D27" s="11"/>
    </row>
    <row r="29" spans="4:15" x14ac:dyDescent="0.35">
      <c r="F29" s="141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&amp;L
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Wayne Armstrong</cp:lastModifiedBy>
  <cp:lastPrinted>2016-09-21T15:32:33Z</cp:lastPrinted>
  <dcterms:created xsi:type="dcterms:W3CDTF">2016-07-20T15:58:10Z</dcterms:created>
  <dcterms:modified xsi:type="dcterms:W3CDTF">2017-03-10T20:15:48Z</dcterms:modified>
</cp:coreProperties>
</file>