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rett.Urech\Desktop\"/>
    </mc:Choice>
  </mc:AlternateContent>
  <bookViews>
    <workbookView xWindow="0" yWindow="0" windowWidth="28800" windowHeight="11235" firstSheet="2" activeTab="6"/>
  </bookViews>
  <sheets>
    <sheet name="2012 old" sheetId="1" state="hidden" r:id="rId1"/>
    <sheet name="2013 old" sheetId="2" state="hidden" r:id="rId2"/>
    <sheet name="2012" sheetId="27" r:id="rId3"/>
    <sheet name="2013" sheetId="31" r:id="rId4"/>
    <sheet name="2014" sheetId="32" r:id="rId5"/>
    <sheet name="Summary" sheetId="8" r:id="rId6"/>
    <sheet name="Carry Rates" sheetId="33" r:id="rId7"/>
    <sheet name="Persistance" sheetId="4" r:id="rId8"/>
    <sheet name="Rates" sheetId="14" r:id="rId9"/>
    <sheet name="Retrofit Split" sheetId="5" r:id="rId10"/>
  </sheets>
  <definedNames>
    <definedName name="_xlnm._FilterDatabase" localSheetId="7" hidden="1">Persistance!$A$1:$O$100</definedName>
  </definedNames>
  <calcPr calcId="152511"/>
</workbook>
</file>

<file path=xl/calcChain.xml><?xml version="1.0" encoding="utf-8"?>
<calcChain xmlns="http://schemas.openxmlformats.org/spreadsheetml/2006/main">
  <c r="F5" i="33" l="1"/>
  <c r="B11" i="33"/>
  <c r="B15" i="33" s="1"/>
  <c r="B19" i="33" s="1"/>
  <c r="B23" i="33" s="1"/>
  <c r="B27" i="33" s="1"/>
  <c r="B31" i="33" s="1"/>
  <c r="B10" i="33"/>
  <c r="B14" i="33" s="1"/>
  <c r="B18" i="33" s="1"/>
  <c r="B22" i="33" s="1"/>
  <c r="B26" i="33" s="1"/>
  <c r="B30" i="33" s="1"/>
  <c r="B9" i="33"/>
  <c r="B13" i="33" s="1"/>
  <c r="B17" i="33" s="1"/>
  <c r="B21" i="33" s="1"/>
  <c r="B25" i="33" s="1"/>
  <c r="B29" i="33" s="1"/>
  <c r="B8" i="33"/>
  <c r="B12" i="33" s="1"/>
  <c r="B16" i="33" s="1"/>
  <c r="B20" i="33" s="1"/>
  <c r="B24" i="33" s="1"/>
  <c r="B28" i="33" s="1"/>
  <c r="G4" i="33"/>
  <c r="P4" i="33" l="1"/>
  <c r="N4" i="33"/>
  <c r="L4" i="33"/>
  <c r="J4" i="33"/>
  <c r="F6" i="33"/>
  <c r="K4" i="33" l="1"/>
  <c r="F7" i="33"/>
  <c r="M4" i="33" l="1"/>
  <c r="O4" i="33" s="1"/>
  <c r="F8" i="33"/>
  <c r="Q4" i="33" l="1"/>
  <c r="S4" i="33" s="1"/>
  <c r="F9" i="33"/>
  <c r="G8" i="33"/>
  <c r="I8" i="33" l="1"/>
  <c r="R4" i="33"/>
  <c r="D3" i="8" s="1"/>
  <c r="T4" i="33"/>
  <c r="P8" i="33"/>
  <c r="J8" i="33"/>
  <c r="N8" i="33"/>
  <c r="L8" i="33"/>
  <c r="F10" i="33"/>
  <c r="G9" i="33"/>
  <c r="I9" i="33" l="1"/>
  <c r="P9" i="33"/>
  <c r="N9" i="33"/>
  <c r="J9" i="33"/>
  <c r="L9" i="33"/>
  <c r="F11" i="33"/>
  <c r="G10" i="33"/>
  <c r="I10" i="33" l="1"/>
  <c r="P10" i="33"/>
  <c r="J10" i="33"/>
  <c r="N10" i="33"/>
  <c r="L10" i="33"/>
  <c r="F12" i="33"/>
  <c r="G11" i="33"/>
  <c r="I11" i="33" l="1"/>
  <c r="P11" i="33"/>
  <c r="N11" i="33"/>
  <c r="J11" i="33"/>
  <c r="L11" i="33"/>
  <c r="F13" i="33"/>
  <c r="G13" i="33"/>
  <c r="G12" i="33"/>
  <c r="I12" i="33" l="1"/>
  <c r="I13" i="33"/>
  <c r="P12" i="33"/>
  <c r="N12" i="33"/>
  <c r="J12" i="33"/>
  <c r="L12" i="33"/>
  <c r="P13" i="33"/>
  <c r="J13" i="33"/>
  <c r="N13" i="33"/>
  <c r="L13" i="33"/>
  <c r="M65" i="32" l="1"/>
  <c r="M51" i="32"/>
  <c r="M30" i="32"/>
  <c r="D5" i="32"/>
  <c r="C5" i="32"/>
  <c r="A2" i="32"/>
  <c r="S64" i="32" s="1"/>
  <c r="M65" i="31"/>
  <c r="M51" i="31"/>
  <c r="M30" i="31"/>
  <c r="C5" i="31"/>
  <c r="D5" i="31" s="1"/>
  <c r="A2" i="31"/>
  <c r="S64" i="31" s="1"/>
  <c r="S65" i="31" s="1"/>
  <c r="T65" i="31" s="1"/>
  <c r="M65" i="27"/>
  <c r="M51" i="27"/>
  <c r="M30" i="27"/>
  <c r="C12" i="8"/>
  <c r="C11" i="8"/>
  <c r="C10" i="8"/>
  <c r="C9" i="8"/>
  <c r="C8" i="8"/>
  <c r="C7" i="8"/>
  <c r="C3" i="8"/>
  <c r="C10" i="32" l="1"/>
  <c r="B19" i="32"/>
  <c r="B34" i="32"/>
  <c r="B54" i="32"/>
  <c r="D6" i="32"/>
  <c r="C11" i="32"/>
  <c r="B21" i="32"/>
  <c r="B39" i="32"/>
  <c r="B57" i="32"/>
  <c r="D9" i="32"/>
  <c r="A1" i="32"/>
  <c r="D33" i="32"/>
  <c r="C20" i="32"/>
  <c r="B6" i="32"/>
  <c r="B13" i="32"/>
  <c r="B22" i="32"/>
  <c r="C39" i="32"/>
  <c r="C57" i="32"/>
  <c r="S50" i="32"/>
  <c r="U50" i="32" s="1"/>
  <c r="B10" i="32"/>
  <c r="C47" i="32"/>
  <c r="C54" i="32"/>
  <c r="C6" i="32"/>
  <c r="B14" i="32"/>
  <c r="C24" i="32"/>
  <c r="B42" i="32"/>
  <c r="B60" i="32"/>
  <c r="C16" i="32"/>
  <c r="C18" i="32"/>
  <c r="B11" i="32"/>
  <c r="C36" i="32"/>
  <c r="C8" i="32"/>
  <c r="B15" i="32"/>
  <c r="B27" i="32"/>
  <c r="B47" i="32"/>
  <c r="C62" i="32"/>
  <c r="D8" i="32"/>
  <c r="D24" i="32"/>
  <c r="C27" i="32"/>
  <c r="D17" i="32"/>
  <c r="D36" i="32"/>
  <c r="U64" i="32"/>
  <c r="T64" i="32"/>
  <c r="D13" i="32"/>
  <c r="C12" i="32"/>
  <c r="D16" i="32"/>
  <c r="C19" i="32"/>
  <c r="D49" i="32"/>
  <c r="D12" i="32"/>
  <c r="D53" i="32"/>
  <c r="D59" i="32"/>
  <c r="E5" i="32"/>
  <c r="D15" i="32"/>
  <c r="D21" i="32"/>
  <c r="D23" i="32"/>
  <c r="D41" i="32"/>
  <c r="C44" i="32"/>
  <c r="D62" i="32"/>
  <c r="D44" i="32"/>
  <c r="S65" i="32"/>
  <c r="T65" i="32" s="1"/>
  <c r="E28" i="32"/>
  <c r="S29" i="32"/>
  <c r="E32" i="32"/>
  <c r="B33" i="32"/>
  <c r="D35" i="32"/>
  <c r="C38" i="32"/>
  <c r="E40" i="32"/>
  <c r="B41" i="32"/>
  <c r="D43" i="32"/>
  <c r="C46" i="32"/>
  <c r="E48" i="32"/>
  <c r="B49" i="32"/>
  <c r="B53" i="32"/>
  <c r="C56" i="32"/>
  <c r="E58" i="32"/>
  <c r="B59" i="32"/>
  <c r="D61" i="32"/>
  <c r="C26" i="32"/>
  <c r="B8" i="32"/>
  <c r="D10" i="32"/>
  <c r="C13" i="32"/>
  <c r="E15" i="32"/>
  <c r="B16" i="32"/>
  <c r="D18" i="32"/>
  <c r="C21" i="32"/>
  <c r="E23" i="32"/>
  <c r="B24" i="32"/>
  <c r="D26" i="32"/>
  <c r="C33" i="32"/>
  <c r="E35" i="32"/>
  <c r="B36" i="32"/>
  <c r="D38" i="32"/>
  <c r="C41" i="32"/>
  <c r="E43" i="32"/>
  <c r="B44" i="32"/>
  <c r="D46" i="32"/>
  <c r="C49" i="32"/>
  <c r="C53" i="32"/>
  <c r="D56" i="32"/>
  <c r="C59" i="32"/>
  <c r="E61" i="32"/>
  <c r="B62" i="32"/>
  <c r="E8" i="32"/>
  <c r="B9" i="32"/>
  <c r="D11" i="32"/>
  <c r="C14" i="32"/>
  <c r="E16" i="32"/>
  <c r="B17" i="32"/>
  <c r="D19" i="32"/>
  <c r="C22" i="32"/>
  <c r="E24" i="32"/>
  <c r="B25" i="32"/>
  <c r="D27" i="32"/>
  <c r="C34" i="32"/>
  <c r="E36" i="32"/>
  <c r="B37" i="32"/>
  <c r="D39" i="32"/>
  <c r="C42" i="32"/>
  <c r="E44" i="32"/>
  <c r="B45" i="32"/>
  <c r="D47" i="32"/>
  <c r="D54" i="32"/>
  <c r="B55" i="32"/>
  <c r="D57" i="32"/>
  <c r="C60" i="32"/>
  <c r="E62" i="32"/>
  <c r="B63" i="32"/>
  <c r="L4" i="32"/>
  <c r="C9" i="32"/>
  <c r="E11" i="32"/>
  <c r="B12" i="32"/>
  <c r="D14" i="32"/>
  <c r="C17" i="32"/>
  <c r="E19" i="32"/>
  <c r="B20" i="32"/>
  <c r="D22" i="32"/>
  <c r="C25" i="32"/>
  <c r="E27" i="32"/>
  <c r="B28" i="32"/>
  <c r="B32" i="32"/>
  <c r="D34" i="32"/>
  <c r="C37" i="32"/>
  <c r="E39" i="32"/>
  <c r="B40" i="32"/>
  <c r="D42" i="32"/>
  <c r="C45" i="32"/>
  <c r="E47" i="32"/>
  <c r="B48" i="32"/>
  <c r="E54" i="32"/>
  <c r="C55" i="32"/>
  <c r="E57" i="32"/>
  <c r="B58" i="32"/>
  <c r="D60" i="32"/>
  <c r="C63" i="32"/>
  <c r="E22" i="32"/>
  <c r="B23" i="32"/>
  <c r="D25" i="32"/>
  <c r="C28" i="32"/>
  <c r="C32" i="32"/>
  <c r="E34" i="32"/>
  <c r="B35" i="32"/>
  <c r="D37" i="32"/>
  <c r="C40" i="32"/>
  <c r="E42" i="32"/>
  <c r="B43" i="32"/>
  <c r="D45" i="32"/>
  <c r="C48" i="32"/>
  <c r="D55" i="32"/>
  <c r="C58" i="32"/>
  <c r="E60" i="32"/>
  <c r="B61" i="32"/>
  <c r="D63" i="32"/>
  <c r="C15" i="32"/>
  <c r="E17" i="32"/>
  <c r="B18" i="32"/>
  <c r="D20" i="32"/>
  <c r="C23" i="32"/>
  <c r="E25" i="32"/>
  <c r="B26" i="32"/>
  <c r="D28" i="32"/>
  <c r="D32" i="32"/>
  <c r="C35" i="32"/>
  <c r="E37" i="32"/>
  <c r="B38" i="32"/>
  <c r="D40" i="32"/>
  <c r="C43" i="32"/>
  <c r="E45" i="32"/>
  <c r="B46" i="32"/>
  <c r="D48" i="32"/>
  <c r="E55" i="32"/>
  <c r="B56" i="32"/>
  <c r="D58" i="32"/>
  <c r="C61" i="32"/>
  <c r="E63" i="32"/>
  <c r="C16" i="31"/>
  <c r="C47" i="31"/>
  <c r="C27" i="31"/>
  <c r="D44" i="31"/>
  <c r="D16" i="31"/>
  <c r="B34" i="31"/>
  <c r="C8" i="31"/>
  <c r="B19" i="31"/>
  <c r="C36" i="31"/>
  <c r="B54" i="31"/>
  <c r="A1" i="31"/>
  <c r="D8" i="31"/>
  <c r="C19" i="31"/>
  <c r="B39" i="31"/>
  <c r="B57" i="31"/>
  <c r="B47" i="31"/>
  <c r="B11" i="31"/>
  <c r="B22" i="31"/>
  <c r="C39" i="31"/>
  <c r="C62" i="31"/>
  <c r="B14" i="31"/>
  <c r="C11" i="31"/>
  <c r="C24" i="31"/>
  <c r="B42" i="31"/>
  <c r="D13" i="31"/>
  <c r="B27" i="31"/>
  <c r="C44" i="31"/>
  <c r="D49" i="31"/>
  <c r="U64" i="31"/>
  <c r="T64" i="31"/>
  <c r="D6" i="31"/>
  <c r="E5" i="31"/>
  <c r="E20" i="31" s="1"/>
  <c r="D41" i="31"/>
  <c r="D33" i="31"/>
  <c r="D21" i="31"/>
  <c r="D36" i="31"/>
  <c r="D53" i="31"/>
  <c r="D59" i="31"/>
  <c r="D24" i="31"/>
  <c r="E53" i="31"/>
  <c r="C57" i="31"/>
  <c r="C6" i="31"/>
  <c r="C10" i="31"/>
  <c r="B13" i="31"/>
  <c r="D15" i="31"/>
  <c r="C18" i="31"/>
  <c r="B21" i="31"/>
  <c r="D23" i="31"/>
  <c r="C26" i="31"/>
  <c r="S29" i="31"/>
  <c r="B33" i="31"/>
  <c r="D35" i="31"/>
  <c r="C38" i="31"/>
  <c r="B41" i="31"/>
  <c r="D43" i="31"/>
  <c r="C46" i="31"/>
  <c r="B49" i="31"/>
  <c r="B53" i="31"/>
  <c r="C56" i="31"/>
  <c r="B59" i="31"/>
  <c r="D61" i="31"/>
  <c r="S50" i="31"/>
  <c r="C54" i="31"/>
  <c r="D62" i="31"/>
  <c r="B8" i="31"/>
  <c r="D10" i="31"/>
  <c r="C13" i="31"/>
  <c r="B16" i="31"/>
  <c r="D18" i="31"/>
  <c r="C21" i="31"/>
  <c r="B24" i="31"/>
  <c r="D26" i="31"/>
  <c r="C33" i="31"/>
  <c r="E35" i="31"/>
  <c r="B36" i="31"/>
  <c r="D38" i="31"/>
  <c r="C41" i="31"/>
  <c r="B44" i="31"/>
  <c r="D46" i="31"/>
  <c r="C49" i="31"/>
  <c r="C53" i="31"/>
  <c r="D56" i="31"/>
  <c r="C59" i="31"/>
  <c r="B62" i="31"/>
  <c r="B9" i="31"/>
  <c r="D11" i="31"/>
  <c r="C14" i="31"/>
  <c r="B17" i="31"/>
  <c r="D19" i="31"/>
  <c r="C22" i="31"/>
  <c r="B25" i="31"/>
  <c r="D27" i="31"/>
  <c r="C34" i="31"/>
  <c r="E36" i="31"/>
  <c r="B37" i="31"/>
  <c r="D39" i="31"/>
  <c r="C42" i="31"/>
  <c r="B45" i="31"/>
  <c r="D47" i="31"/>
  <c r="D54" i="31"/>
  <c r="B55" i="31"/>
  <c r="D57" i="31"/>
  <c r="C60" i="31"/>
  <c r="B63" i="31"/>
  <c r="B60" i="31"/>
  <c r="L4" i="31"/>
  <c r="C9" i="31"/>
  <c r="B12" i="31"/>
  <c r="D14" i="31"/>
  <c r="C17" i="31"/>
  <c r="B20" i="31"/>
  <c r="D22" i="31"/>
  <c r="C25" i="31"/>
  <c r="B28" i="31"/>
  <c r="B32" i="31"/>
  <c r="D34" i="31"/>
  <c r="C37" i="31"/>
  <c r="B40" i="31"/>
  <c r="D42" i="31"/>
  <c r="C45" i="31"/>
  <c r="B48" i="31"/>
  <c r="E54" i="31"/>
  <c r="C55" i="31"/>
  <c r="B58" i="31"/>
  <c r="D60" i="31"/>
  <c r="C63" i="31"/>
  <c r="D9" i="31"/>
  <c r="C12" i="31"/>
  <c r="B15" i="31"/>
  <c r="D17" i="31"/>
  <c r="C20" i="31"/>
  <c r="B23" i="31"/>
  <c r="D25" i="31"/>
  <c r="C28" i="31"/>
  <c r="C32" i="31"/>
  <c r="E34" i="31"/>
  <c r="B35" i="31"/>
  <c r="D37" i="31"/>
  <c r="C40" i="31"/>
  <c r="B43" i="31"/>
  <c r="D45" i="31"/>
  <c r="C48" i="31"/>
  <c r="D55" i="31"/>
  <c r="C58" i="31"/>
  <c r="B61" i="31"/>
  <c r="D63" i="31"/>
  <c r="B6" i="31"/>
  <c r="E9" i="31"/>
  <c r="B10" i="31"/>
  <c r="D12" i="31"/>
  <c r="C15" i="31"/>
  <c r="E17" i="31"/>
  <c r="B18" i="31"/>
  <c r="D20" i="31"/>
  <c r="C23" i="31"/>
  <c r="B26" i="31"/>
  <c r="D28" i="31"/>
  <c r="D32" i="31"/>
  <c r="C35" i="31"/>
  <c r="B38" i="31"/>
  <c r="D40" i="31"/>
  <c r="C43" i="31"/>
  <c r="B46" i="31"/>
  <c r="D48" i="31"/>
  <c r="B56" i="31"/>
  <c r="D58" i="31"/>
  <c r="C61" i="31"/>
  <c r="B3" i="5"/>
  <c r="B7" i="5"/>
  <c r="S51" i="32" l="1"/>
  <c r="T51" i="32" s="1"/>
  <c r="T50" i="32"/>
  <c r="C30" i="32"/>
  <c r="C65" i="32"/>
  <c r="D30" i="32"/>
  <c r="B65" i="32"/>
  <c r="D51" i="32"/>
  <c r="C51" i="32"/>
  <c r="D65" i="32"/>
  <c r="T29" i="32"/>
  <c r="U29" i="32"/>
  <c r="S30" i="32"/>
  <c r="T30" i="32" s="1"/>
  <c r="N65" i="32"/>
  <c r="P65" i="32" s="1"/>
  <c r="B51" i="32"/>
  <c r="B30" i="32"/>
  <c r="F5" i="32"/>
  <c r="E41" i="32"/>
  <c r="E26" i="32"/>
  <c r="E21" i="32"/>
  <c r="E18" i="32"/>
  <c r="E59" i="32"/>
  <c r="E53" i="32"/>
  <c r="E38" i="32"/>
  <c r="E12" i="32"/>
  <c r="E56" i="32"/>
  <c r="E49" i="32"/>
  <c r="E46" i="32"/>
  <c r="E13" i="32"/>
  <c r="E6" i="32"/>
  <c r="E9" i="32"/>
  <c r="E10" i="32"/>
  <c r="E33" i="32"/>
  <c r="E20" i="32"/>
  <c r="E14" i="32"/>
  <c r="C51" i="31"/>
  <c r="C30" i="31"/>
  <c r="D51" i="31"/>
  <c r="D65" i="31"/>
  <c r="D30" i="31"/>
  <c r="B65" i="31"/>
  <c r="C65" i="31"/>
  <c r="E55" i="31"/>
  <c r="E45" i="31"/>
  <c r="E39" i="31"/>
  <c r="E11" i="31"/>
  <c r="E59" i="31"/>
  <c r="E32" i="31"/>
  <c r="E49" i="31"/>
  <c r="E37" i="31"/>
  <c r="E24" i="31"/>
  <c r="E61" i="31"/>
  <c r="E23" i="31"/>
  <c r="E58" i="31"/>
  <c r="E28" i="31"/>
  <c r="E60" i="31"/>
  <c r="E22" i="31"/>
  <c r="E62" i="31"/>
  <c r="S51" i="31"/>
  <c r="T51" i="31" s="1"/>
  <c r="U50" i="31"/>
  <c r="T50" i="31"/>
  <c r="E27" i="31"/>
  <c r="E16" i="31"/>
  <c r="E15" i="31"/>
  <c r="E48" i="31"/>
  <c r="T29" i="31"/>
  <c r="U29" i="31"/>
  <c r="S30" i="31"/>
  <c r="T30" i="31" s="1"/>
  <c r="F5" i="31"/>
  <c r="E21" i="31"/>
  <c r="E33" i="31"/>
  <c r="E18" i="31"/>
  <c r="E38" i="31"/>
  <c r="E10" i="31"/>
  <c r="E6" i="31"/>
  <c r="E41" i="31"/>
  <c r="E26" i="31"/>
  <c r="E56" i="31"/>
  <c r="E46" i="31"/>
  <c r="E13" i="31"/>
  <c r="E25" i="31"/>
  <c r="E42" i="31"/>
  <c r="E14" i="31"/>
  <c r="E57" i="31"/>
  <c r="E44" i="31"/>
  <c r="E43" i="31"/>
  <c r="B30" i="31"/>
  <c r="N65" i="31"/>
  <c r="P65" i="31" s="1"/>
  <c r="B51" i="31"/>
  <c r="E63" i="31"/>
  <c r="E47" i="31"/>
  <c r="E19" i="31"/>
  <c r="E8" i="31"/>
  <c r="E40" i="31"/>
  <c r="E12" i="31"/>
  <c r="C5" i="27"/>
  <c r="A2" i="27"/>
  <c r="N51" i="32" l="1"/>
  <c r="P51" i="32" s="1"/>
  <c r="E51" i="32"/>
  <c r="E65" i="32"/>
  <c r="E30" i="32"/>
  <c r="N30" i="32"/>
  <c r="P30" i="32" s="1"/>
  <c r="P67" i="32" s="1"/>
  <c r="F38" i="32"/>
  <c r="F23" i="32"/>
  <c r="F15" i="32"/>
  <c r="F11" i="32"/>
  <c r="G5" i="32"/>
  <c r="F6" i="32"/>
  <c r="F56" i="32"/>
  <c r="F35" i="32"/>
  <c r="F46" i="32"/>
  <c r="F19" i="32"/>
  <c r="F43" i="32"/>
  <c r="F26" i="32"/>
  <c r="F61" i="32"/>
  <c r="F18" i="32"/>
  <c r="F17" i="32"/>
  <c r="F9" i="32"/>
  <c r="F10" i="32"/>
  <c r="F20" i="32"/>
  <c r="F58" i="32"/>
  <c r="F21" i="32"/>
  <c r="F53" i="32"/>
  <c r="F60" i="32"/>
  <c r="F55" i="32"/>
  <c r="F16" i="32"/>
  <c r="F44" i="32"/>
  <c r="F22" i="32"/>
  <c r="F8" i="32"/>
  <c r="F27" i="32"/>
  <c r="F28" i="32"/>
  <c r="F54" i="32"/>
  <c r="F36" i="32"/>
  <c r="F63" i="32"/>
  <c r="F32" i="32"/>
  <c r="F33" i="32"/>
  <c r="F24" i="32"/>
  <c r="F39" i="32"/>
  <c r="F45" i="32"/>
  <c r="F62" i="32"/>
  <c r="F34" i="32"/>
  <c r="F49" i="32"/>
  <c r="F14" i="32"/>
  <c r="F37" i="32"/>
  <c r="F25" i="32"/>
  <c r="F40" i="32"/>
  <c r="F41" i="32"/>
  <c r="F47" i="32"/>
  <c r="F57" i="32"/>
  <c r="F48" i="32"/>
  <c r="F59" i="32"/>
  <c r="F12" i="32"/>
  <c r="F13" i="32"/>
  <c r="F42" i="32"/>
  <c r="E65" i="31"/>
  <c r="N51" i="31"/>
  <c r="P51" i="31" s="1"/>
  <c r="E30" i="31"/>
  <c r="E51" i="31"/>
  <c r="N30" i="31"/>
  <c r="P30" i="31" s="1"/>
  <c r="F18" i="31"/>
  <c r="G5" i="31"/>
  <c r="F15" i="31"/>
  <c r="F26" i="31"/>
  <c r="F6" i="31"/>
  <c r="F38" i="31"/>
  <c r="F23" i="31"/>
  <c r="F35" i="31"/>
  <c r="F46" i="31"/>
  <c r="F61" i="31"/>
  <c r="F43" i="31"/>
  <c r="F10" i="31"/>
  <c r="F25" i="31"/>
  <c r="F55" i="31"/>
  <c r="F20" i="31"/>
  <c r="F58" i="31"/>
  <c r="F21" i="31"/>
  <c r="F53" i="31"/>
  <c r="F34" i="31"/>
  <c r="F27" i="31"/>
  <c r="F56" i="31"/>
  <c r="F40" i="31"/>
  <c r="F63" i="31"/>
  <c r="F28" i="31"/>
  <c r="F8" i="31"/>
  <c r="F36" i="31"/>
  <c r="F42" i="31"/>
  <c r="F41" i="31"/>
  <c r="F11" i="31"/>
  <c r="F32" i="31"/>
  <c r="F33" i="31"/>
  <c r="F14" i="31"/>
  <c r="F9" i="31"/>
  <c r="F37" i="31"/>
  <c r="F16" i="31"/>
  <c r="F44" i="31"/>
  <c r="F54" i="31"/>
  <c r="F60" i="31"/>
  <c r="F39" i="31"/>
  <c r="F22" i="31"/>
  <c r="F17" i="31"/>
  <c r="F45" i="31"/>
  <c r="F12" i="31"/>
  <c r="F13" i="31"/>
  <c r="F24" i="31"/>
  <c r="F48" i="31"/>
  <c r="F49" i="31"/>
  <c r="F59" i="31"/>
  <c r="F62" i="31"/>
  <c r="F19" i="31"/>
  <c r="F47" i="31"/>
  <c r="F57" i="31"/>
  <c r="D57" i="27"/>
  <c r="K57" i="27"/>
  <c r="C57" i="27"/>
  <c r="F57" i="27"/>
  <c r="J57" i="27"/>
  <c r="B57" i="27"/>
  <c r="E57" i="27"/>
  <c r="I57" i="27"/>
  <c r="H57" i="27"/>
  <c r="G57" i="27"/>
  <c r="C38" i="27"/>
  <c r="B38" i="27"/>
  <c r="S64" i="27"/>
  <c r="S65" i="27" s="1"/>
  <c r="T65" i="27" s="1"/>
  <c r="A1" i="27"/>
  <c r="B19" i="27"/>
  <c r="C24" i="27"/>
  <c r="B27" i="27"/>
  <c r="C6" i="27"/>
  <c r="C36" i="27"/>
  <c r="C8" i="27"/>
  <c r="B40" i="27"/>
  <c r="B11" i="27"/>
  <c r="C16" i="27"/>
  <c r="C11" i="27"/>
  <c r="B14" i="27"/>
  <c r="C19" i="27"/>
  <c r="B22" i="27"/>
  <c r="C27" i="27"/>
  <c r="B34" i="27"/>
  <c r="C40" i="27"/>
  <c r="B43" i="27"/>
  <c r="C48" i="27"/>
  <c r="C59" i="27"/>
  <c r="B62" i="27"/>
  <c r="B9" i="27"/>
  <c r="C14" i="27"/>
  <c r="B17" i="27"/>
  <c r="C22" i="27"/>
  <c r="B25" i="27"/>
  <c r="C34" i="27"/>
  <c r="B37" i="27"/>
  <c r="C43" i="27"/>
  <c r="B46" i="27"/>
  <c r="B56" i="27"/>
  <c r="C62" i="27"/>
  <c r="B59" i="27"/>
  <c r="L4" i="27"/>
  <c r="C9" i="27"/>
  <c r="B12" i="27"/>
  <c r="C17" i="27"/>
  <c r="B20" i="27"/>
  <c r="C25" i="27"/>
  <c r="B28" i="27"/>
  <c r="B32" i="27"/>
  <c r="C37" i="27"/>
  <c r="B41" i="27"/>
  <c r="C46" i="27"/>
  <c r="B49" i="27"/>
  <c r="B53" i="27"/>
  <c r="C56" i="27"/>
  <c r="B60" i="27"/>
  <c r="C12" i="27"/>
  <c r="B15" i="27"/>
  <c r="C20" i="27"/>
  <c r="B23" i="27"/>
  <c r="C28" i="27"/>
  <c r="C32" i="27"/>
  <c r="B35" i="27"/>
  <c r="C41" i="27"/>
  <c r="B44" i="27"/>
  <c r="C49" i="27"/>
  <c r="C53" i="27"/>
  <c r="C60" i="27"/>
  <c r="B63" i="27"/>
  <c r="D5" i="27"/>
  <c r="D16" i="27" s="1"/>
  <c r="B6" i="27"/>
  <c r="B10" i="27"/>
  <c r="C15" i="27"/>
  <c r="B18" i="27"/>
  <c r="C23" i="27"/>
  <c r="B26" i="27"/>
  <c r="C35" i="27"/>
  <c r="B39" i="27"/>
  <c r="C44" i="27"/>
  <c r="B47" i="27"/>
  <c r="D53" i="27"/>
  <c r="B54" i="27"/>
  <c r="B58" i="27"/>
  <c r="B48" i="27"/>
  <c r="C10" i="27"/>
  <c r="B13" i="27"/>
  <c r="C18" i="27"/>
  <c r="B21" i="27"/>
  <c r="C26" i="27"/>
  <c r="S29" i="27"/>
  <c r="B33" i="27"/>
  <c r="C39" i="27"/>
  <c r="B42" i="27"/>
  <c r="C47" i="27"/>
  <c r="S50" i="27"/>
  <c r="C54" i="27"/>
  <c r="C58" i="27"/>
  <c r="B61" i="27"/>
  <c r="C45" i="27"/>
  <c r="C55" i="27"/>
  <c r="B8" i="27"/>
  <c r="C13" i="27"/>
  <c r="B16" i="27"/>
  <c r="C21" i="27"/>
  <c r="B24" i="27"/>
  <c r="D26" i="27"/>
  <c r="C33" i="27"/>
  <c r="B36" i="27"/>
  <c r="C42" i="27"/>
  <c r="B45" i="27"/>
  <c r="B55" i="27"/>
  <c r="C61" i="27"/>
  <c r="F65" i="32" l="1"/>
  <c r="F30" i="32"/>
  <c r="F51" i="32"/>
  <c r="G6" i="32"/>
  <c r="G35" i="32"/>
  <c r="G12" i="32"/>
  <c r="G43" i="32"/>
  <c r="G32" i="32"/>
  <c r="G28" i="32"/>
  <c r="G16" i="32"/>
  <c r="G61" i="32"/>
  <c r="G40" i="32"/>
  <c r="G20" i="32"/>
  <c r="G8" i="32"/>
  <c r="G23" i="32"/>
  <c r="G15" i="32"/>
  <c r="H5" i="32"/>
  <c r="G58" i="32"/>
  <c r="G22" i="32"/>
  <c r="G11" i="32"/>
  <c r="G48" i="32"/>
  <c r="G14" i="32"/>
  <c r="G60" i="32"/>
  <c r="G21" i="32"/>
  <c r="G49" i="32"/>
  <c r="G36" i="32"/>
  <c r="G27" i="32"/>
  <c r="G53" i="32"/>
  <c r="G59" i="32"/>
  <c r="G54" i="32"/>
  <c r="G34" i="32"/>
  <c r="G37" i="32"/>
  <c r="G38" i="32"/>
  <c r="G44" i="32"/>
  <c r="G9" i="32"/>
  <c r="G10" i="32"/>
  <c r="G39" i="32"/>
  <c r="G42" i="32"/>
  <c r="G45" i="32"/>
  <c r="G46" i="32"/>
  <c r="G56" i="32"/>
  <c r="G33" i="32"/>
  <c r="G24" i="32"/>
  <c r="G62" i="32"/>
  <c r="G17" i="32"/>
  <c r="G55" i="32"/>
  <c r="G18" i="32"/>
  <c r="G47" i="32"/>
  <c r="G57" i="32"/>
  <c r="G25" i="32"/>
  <c r="G63" i="32"/>
  <c r="G26" i="32"/>
  <c r="G13" i="32"/>
  <c r="G41" i="32"/>
  <c r="G19" i="32"/>
  <c r="P67" i="31"/>
  <c r="F51" i="31"/>
  <c r="F65" i="31"/>
  <c r="F30" i="31"/>
  <c r="G6" i="31"/>
  <c r="G48" i="31"/>
  <c r="G15" i="31"/>
  <c r="H5" i="31"/>
  <c r="G12" i="31"/>
  <c r="G58" i="31"/>
  <c r="G23" i="31"/>
  <c r="G32" i="31"/>
  <c r="G35" i="31"/>
  <c r="G20" i="31"/>
  <c r="G43" i="31"/>
  <c r="G28" i="31"/>
  <c r="G40" i="31"/>
  <c r="G11" i="31"/>
  <c r="G34" i="31"/>
  <c r="G13" i="31"/>
  <c r="G41" i="31"/>
  <c r="G47" i="31"/>
  <c r="G57" i="31"/>
  <c r="G22" i="31"/>
  <c r="G17" i="31"/>
  <c r="G55" i="31"/>
  <c r="G18" i="31"/>
  <c r="G37" i="31"/>
  <c r="G38" i="31"/>
  <c r="G8" i="31"/>
  <c r="G36" i="31"/>
  <c r="G61" i="31"/>
  <c r="G19" i="31"/>
  <c r="G14" i="31"/>
  <c r="G42" i="31"/>
  <c r="G9" i="31"/>
  <c r="G10" i="31"/>
  <c r="G21" i="31"/>
  <c r="G49" i="31"/>
  <c r="G54" i="31"/>
  <c r="G45" i="31"/>
  <c r="G46" i="31"/>
  <c r="G56" i="31"/>
  <c r="G53" i="31"/>
  <c r="G59" i="31"/>
  <c r="G16" i="31"/>
  <c r="G44" i="31"/>
  <c r="G27" i="31"/>
  <c r="G24" i="31"/>
  <c r="G62" i="31"/>
  <c r="G60" i="31"/>
  <c r="G25" i="31"/>
  <c r="G63" i="31"/>
  <c r="G26" i="31"/>
  <c r="G33" i="31"/>
  <c r="G39" i="31"/>
  <c r="L57" i="27"/>
  <c r="D54" i="27"/>
  <c r="D15" i="27"/>
  <c r="D49" i="27"/>
  <c r="D47" i="27"/>
  <c r="D35" i="27"/>
  <c r="D20" i="27"/>
  <c r="D36" i="27"/>
  <c r="D18" i="27"/>
  <c r="D56" i="27"/>
  <c r="D48" i="27"/>
  <c r="D41" i="27"/>
  <c r="D39" i="27"/>
  <c r="D60" i="27"/>
  <c r="D12" i="27"/>
  <c r="D10" i="27"/>
  <c r="D23" i="27"/>
  <c r="D46" i="27"/>
  <c r="D17" i="27"/>
  <c r="D58" i="27"/>
  <c r="D44" i="27"/>
  <c r="D28" i="27"/>
  <c r="D11" i="27"/>
  <c r="D40" i="27"/>
  <c r="D38" i="27"/>
  <c r="D22" i="27"/>
  <c r="D59" i="27"/>
  <c r="T64" i="27"/>
  <c r="U64" i="27"/>
  <c r="C51" i="27"/>
  <c r="B65" i="27"/>
  <c r="C30" i="27"/>
  <c r="B30" i="27"/>
  <c r="T29" i="27"/>
  <c r="S30" i="27"/>
  <c r="T30" i="27" s="1"/>
  <c r="U29" i="27"/>
  <c r="D32" i="27"/>
  <c r="D37" i="27"/>
  <c r="D9" i="27"/>
  <c r="D43" i="27"/>
  <c r="D14" i="27"/>
  <c r="D24" i="27"/>
  <c r="T50" i="27"/>
  <c r="S51" i="27"/>
  <c r="T51" i="27" s="1"/>
  <c r="U50" i="27"/>
  <c r="D34" i="27"/>
  <c r="D61" i="27"/>
  <c r="D27" i="27"/>
  <c r="D6" i="27"/>
  <c r="E5" i="27"/>
  <c r="E38" i="27" s="1"/>
  <c r="D13" i="27"/>
  <c r="D42" i="27"/>
  <c r="D33" i="27"/>
  <c r="D21" i="27"/>
  <c r="D25" i="27"/>
  <c r="D62" i="27"/>
  <c r="D19" i="27"/>
  <c r="D55" i="27"/>
  <c r="D45" i="27"/>
  <c r="B51" i="27"/>
  <c r="D8" i="27"/>
  <c r="B4" i="8"/>
  <c r="B5" i="8" s="1"/>
  <c r="B6" i="8" s="1"/>
  <c r="B7" i="8" s="1"/>
  <c r="B8" i="8" s="1"/>
  <c r="B9" i="8" s="1"/>
  <c r="B10" i="8" s="1"/>
  <c r="B11" i="8" s="1"/>
  <c r="B12" i="8" s="1"/>
  <c r="K7" i="5"/>
  <c r="J7" i="5"/>
  <c r="I7" i="5"/>
  <c r="H7" i="5"/>
  <c r="G7" i="5"/>
  <c r="F7" i="5"/>
  <c r="K3" i="5"/>
  <c r="J3" i="5"/>
  <c r="I3" i="5"/>
  <c r="H3" i="5"/>
  <c r="G3" i="5"/>
  <c r="F3" i="5"/>
  <c r="G51" i="32" l="1"/>
  <c r="G30" i="32"/>
  <c r="G65" i="32"/>
  <c r="H6" i="32"/>
  <c r="I5" i="32"/>
  <c r="H32" i="32"/>
  <c r="H25" i="32"/>
  <c r="H12" i="32"/>
  <c r="H28" i="32"/>
  <c r="H19" i="32"/>
  <c r="H40" i="32"/>
  <c r="H13" i="32"/>
  <c r="H58" i="32"/>
  <c r="H37" i="32"/>
  <c r="H20" i="32"/>
  <c r="H8" i="32"/>
  <c r="H17" i="32"/>
  <c r="H63" i="32"/>
  <c r="H55" i="32"/>
  <c r="H48" i="32"/>
  <c r="H9" i="32"/>
  <c r="H11" i="32"/>
  <c r="H45" i="32"/>
  <c r="H39" i="32"/>
  <c r="H54" i="32"/>
  <c r="H27" i="32"/>
  <c r="H42" i="32"/>
  <c r="H43" i="32"/>
  <c r="H21" i="32"/>
  <c r="H49" i="32"/>
  <c r="H59" i="32"/>
  <c r="H14" i="32"/>
  <c r="H15" i="32"/>
  <c r="H53" i="32"/>
  <c r="H44" i="32"/>
  <c r="H47" i="32"/>
  <c r="H61" i="32"/>
  <c r="H10" i="32"/>
  <c r="H38" i="32"/>
  <c r="H16" i="32"/>
  <c r="H22" i="32"/>
  <c r="H60" i="32"/>
  <c r="H23" i="32"/>
  <c r="H62" i="32"/>
  <c r="H57" i="32"/>
  <c r="H18" i="32"/>
  <c r="H46" i="32"/>
  <c r="H33" i="32"/>
  <c r="H24" i="32"/>
  <c r="H36" i="32"/>
  <c r="H56" i="32"/>
  <c r="H34" i="32"/>
  <c r="H35" i="32"/>
  <c r="H26" i="32"/>
  <c r="H41" i="32"/>
  <c r="G30" i="31"/>
  <c r="G65" i="31"/>
  <c r="G51" i="31"/>
  <c r="H6" i="31"/>
  <c r="I5" i="31"/>
  <c r="H45" i="31"/>
  <c r="H12" i="31"/>
  <c r="H9" i="31"/>
  <c r="H20" i="31"/>
  <c r="H28" i="31"/>
  <c r="H48" i="31"/>
  <c r="H63" i="31"/>
  <c r="H32" i="31"/>
  <c r="H17" i="31"/>
  <c r="H40" i="31"/>
  <c r="H25" i="31"/>
  <c r="H55" i="31"/>
  <c r="H37" i="31"/>
  <c r="H42" i="31"/>
  <c r="H43" i="31"/>
  <c r="H56" i="31"/>
  <c r="H13" i="31"/>
  <c r="H41" i="31"/>
  <c r="H24" i="31"/>
  <c r="H19" i="31"/>
  <c r="H47" i="31"/>
  <c r="H14" i="31"/>
  <c r="H15" i="31"/>
  <c r="H26" i="31"/>
  <c r="H10" i="31"/>
  <c r="H38" i="31"/>
  <c r="H61" i="31"/>
  <c r="H21" i="31"/>
  <c r="H49" i="31"/>
  <c r="H59" i="31"/>
  <c r="H27" i="31"/>
  <c r="H57" i="31"/>
  <c r="H22" i="31"/>
  <c r="H60" i="31"/>
  <c r="H23" i="31"/>
  <c r="H53" i="31"/>
  <c r="H36" i="31"/>
  <c r="H8" i="31"/>
  <c r="H44" i="31"/>
  <c r="H34" i="31"/>
  <c r="H35" i="31"/>
  <c r="H33" i="31"/>
  <c r="H16" i="31"/>
  <c r="H11" i="31"/>
  <c r="H39" i="31"/>
  <c r="H54" i="31"/>
  <c r="H58" i="31"/>
  <c r="H18" i="31"/>
  <c r="H46" i="31"/>
  <c r="H62" i="31"/>
  <c r="N65" i="27"/>
  <c r="P65" i="27" s="1"/>
  <c r="D51" i="27"/>
  <c r="D30" i="27"/>
  <c r="N51" i="27"/>
  <c r="P51" i="27" s="1"/>
  <c r="N30" i="27"/>
  <c r="P30" i="27" s="1"/>
  <c r="F5" i="27"/>
  <c r="F38" i="27" s="1"/>
  <c r="E18" i="27"/>
  <c r="E10" i="27"/>
  <c r="E26" i="27"/>
  <c r="E6" i="27"/>
  <c r="E39" i="27"/>
  <c r="E61" i="27"/>
  <c r="E24" i="27"/>
  <c r="E21" i="27"/>
  <c r="E25" i="27"/>
  <c r="E12" i="27"/>
  <c r="E41" i="27"/>
  <c r="E23" i="27"/>
  <c r="E11" i="27"/>
  <c r="E40" i="27"/>
  <c r="E34" i="27"/>
  <c r="E32" i="27"/>
  <c r="E15" i="27"/>
  <c r="E36" i="27"/>
  <c r="E20" i="27"/>
  <c r="E49" i="27"/>
  <c r="E47" i="27"/>
  <c r="E33" i="27"/>
  <c r="E8" i="27"/>
  <c r="E19" i="27"/>
  <c r="E48" i="27"/>
  <c r="E14" i="27"/>
  <c r="E43" i="27"/>
  <c r="E37" i="27"/>
  <c r="E35" i="27"/>
  <c r="E54" i="27"/>
  <c r="E45" i="27"/>
  <c r="E55" i="27"/>
  <c r="E9" i="27"/>
  <c r="E28" i="27"/>
  <c r="E53" i="27"/>
  <c r="E60" i="27"/>
  <c r="E62" i="27"/>
  <c r="E17" i="27"/>
  <c r="E56" i="27"/>
  <c r="E42" i="27"/>
  <c r="E16" i="27"/>
  <c r="E27" i="27"/>
  <c r="E59" i="27"/>
  <c r="E22" i="27"/>
  <c r="E46" i="27"/>
  <c r="E44" i="27"/>
  <c r="E58" i="27"/>
  <c r="E13" i="27"/>
  <c r="E7" i="5"/>
  <c r="D7" i="5"/>
  <c r="C7" i="5"/>
  <c r="E3" i="5"/>
  <c r="C3" i="5"/>
  <c r="D3" i="5"/>
  <c r="B17" i="2"/>
  <c r="B11" i="2"/>
  <c r="B13" i="2"/>
  <c r="B10" i="2"/>
  <c r="B17" i="1"/>
  <c r="B10" i="1"/>
  <c r="B18" i="1"/>
  <c r="C18" i="1"/>
  <c r="C17" i="1"/>
  <c r="B13" i="1"/>
  <c r="C12" i="1"/>
  <c r="B12" i="1"/>
  <c r="C11" i="1"/>
  <c r="B11" i="1"/>
  <c r="C10" i="1"/>
  <c r="H30" i="32" l="1"/>
  <c r="H51" i="32"/>
  <c r="H65" i="32"/>
  <c r="J5" i="32"/>
  <c r="I37" i="32"/>
  <c r="I8" i="32"/>
  <c r="I25" i="32"/>
  <c r="I16" i="32"/>
  <c r="I6" i="32"/>
  <c r="I55" i="32"/>
  <c r="I34" i="32"/>
  <c r="I22" i="32"/>
  <c r="I17" i="32"/>
  <c r="I9" i="32"/>
  <c r="I18" i="32"/>
  <c r="I45" i="32"/>
  <c r="I14" i="32"/>
  <c r="I63" i="32"/>
  <c r="I42" i="32"/>
  <c r="I10" i="32"/>
  <c r="I60" i="32"/>
  <c r="I15" i="32"/>
  <c r="I43" i="32"/>
  <c r="I21" i="32"/>
  <c r="I53" i="32"/>
  <c r="I27" i="32"/>
  <c r="I28" i="32"/>
  <c r="I59" i="32"/>
  <c r="I62" i="32"/>
  <c r="I32" i="32"/>
  <c r="I23" i="32"/>
  <c r="I38" i="32"/>
  <c r="I19" i="32"/>
  <c r="I57" i="32"/>
  <c r="I49" i="32"/>
  <c r="I61" i="32"/>
  <c r="I33" i="32"/>
  <c r="I36" i="32"/>
  <c r="I24" i="32"/>
  <c r="I39" i="32"/>
  <c r="I54" i="32"/>
  <c r="I40" i="32"/>
  <c r="I46" i="32"/>
  <c r="I56" i="32"/>
  <c r="I11" i="32"/>
  <c r="I12" i="32"/>
  <c r="I41" i="32"/>
  <c r="I20" i="32"/>
  <c r="I44" i="32"/>
  <c r="I47" i="32"/>
  <c r="I48" i="32"/>
  <c r="I58" i="32"/>
  <c r="I35" i="32"/>
  <c r="I26" i="32"/>
  <c r="I13" i="32"/>
  <c r="H65" i="31"/>
  <c r="H51" i="31"/>
  <c r="H30" i="31"/>
  <c r="I6" i="31"/>
  <c r="J5" i="31"/>
  <c r="I42" i="31"/>
  <c r="I9" i="31"/>
  <c r="I17" i="31"/>
  <c r="I25" i="31"/>
  <c r="I60" i="31"/>
  <c r="I14" i="31"/>
  <c r="I37" i="31"/>
  <c r="I22" i="31"/>
  <c r="I34" i="31"/>
  <c r="I45" i="31"/>
  <c r="I26" i="31"/>
  <c r="I11" i="31"/>
  <c r="I63" i="31"/>
  <c r="I62" i="31"/>
  <c r="I27" i="31"/>
  <c r="I28" i="31"/>
  <c r="I35" i="31"/>
  <c r="I41" i="31"/>
  <c r="I12" i="31"/>
  <c r="I32" i="31"/>
  <c r="I13" i="31"/>
  <c r="I16" i="31"/>
  <c r="I44" i="31"/>
  <c r="I23" i="31"/>
  <c r="I8" i="31"/>
  <c r="I36" i="31"/>
  <c r="I15" i="31"/>
  <c r="I43" i="31"/>
  <c r="I49" i="31"/>
  <c r="I59" i="31"/>
  <c r="I39" i="31"/>
  <c r="I54" i="31"/>
  <c r="I40" i="31"/>
  <c r="I10" i="31"/>
  <c r="I38" i="31"/>
  <c r="I21" i="31"/>
  <c r="I53" i="31"/>
  <c r="I47" i="31"/>
  <c r="I48" i="31"/>
  <c r="I58" i="31"/>
  <c r="I55" i="31"/>
  <c r="I61" i="31"/>
  <c r="I18" i="31"/>
  <c r="I46" i="31"/>
  <c r="I56" i="31"/>
  <c r="I24" i="31"/>
  <c r="I19" i="31"/>
  <c r="I57" i="31"/>
  <c r="I20" i="31"/>
  <c r="I33" i="31"/>
  <c r="C63" i="27"/>
  <c r="C65" i="27" s="1"/>
  <c r="E63" i="27"/>
  <c r="E65" i="27" s="1"/>
  <c r="D63" i="27"/>
  <c r="D65" i="27" s="1"/>
  <c r="E51" i="27"/>
  <c r="E30" i="27"/>
  <c r="P67" i="27"/>
  <c r="F6" i="27"/>
  <c r="G5" i="27"/>
  <c r="G38" i="27" s="1"/>
  <c r="F35" i="27"/>
  <c r="F23" i="27"/>
  <c r="F15" i="27"/>
  <c r="F16" i="27"/>
  <c r="F45" i="27"/>
  <c r="F11" i="27"/>
  <c r="F40" i="27"/>
  <c r="F34" i="27"/>
  <c r="F44" i="27"/>
  <c r="F32" i="27"/>
  <c r="F54" i="27"/>
  <c r="F42" i="27"/>
  <c r="F25" i="27"/>
  <c r="F56" i="27"/>
  <c r="F17" i="27"/>
  <c r="F28" i="27"/>
  <c r="F39" i="27"/>
  <c r="F13" i="27"/>
  <c r="F24" i="27"/>
  <c r="F55" i="27"/>
  <c r="F19" i="27"/>
  <c r="F48" i="27"/>
  <c r="F43" i="27"/>
  <c r="F41" i="27"/>
  <c r="F10" i="27"/>
  <c r="F61" i="27"/>
  <c r="F59" i="27"/>
  <c r="F14" i="27"/>
  <c r="F12" i="27"/>
  <c r="F47" i="27"/>
  <c r="F58" i="27"/>
  <c r="F21" i="27"/>
  <c r="F27" i="27"/>
  <c r="F49" i="27"/>
  <c r="F60" i="27"/>
  <c r="F46" i="27"/>
  <c r="F18" i="27"/>
  <c r="F22" i="27"/>
  <c r="F62" i="27"/>
  <c r="F9" i="27"/>
  <c r="F37" i="27"/>
  <c r="F63" i="27"/>
  <c r="F20" i="27"/>
  <c r="F53" i="27"/>
  <c r="F8" i="27"/>
  <c r="F36" i="27"/>
  <c r="F26" i="27"/>
  <c r="F33" i="27"/>
  <c r="D20" i="2"/>
  <c r="C18" i="2"/>
  <c r="C17" i="2"/>
  <c r="D19" i="2"/>
  <c r="I65" i="32" l="1"/>
  <c r="I51" i="32"/>
  <c r="I30" i="32"/>
  <c r="J19" i="32"/>
  <c r="J6" i="32"/>
  <c r="J13" i="32"/>
  <c r="J34" i="32"/>
  <c r="J22" i="32"/>
  <c r="J14" i="32"/>
  <c r="J10" i="32"/>
  <c r="J54" i="32"/>
  <c r="J15" i="32"/>
  <c r="J42" i="32"/>
  <c r="J27" i="32"/>
  <c r="J57" i="32"/>
  <c r="K5" i="32"/>
  <c r="J60" i="32"/>
  <c r="J39" i="32"/>
  <c r="J11" i="32"/>
  <c r="J47" i="32"/>
  <c r="J21" i="32"/>
  <c r="J58" i="32"/>
  <c r="J33" i="32"/>
  <c r="J36" i="32"/>
  <c r="J37" i="32"/>
  <c r="J28" i="32"/>
  <c r="J43" i="32"/>
  <c r="J48" i="32"/>
  <c r="J8" i="32"/>
  <c r="J9" i="32"/>
  <c r="J38" i="32"/>
  <c r="J53" i="32"/>
  <c r="J59" i="32"/>
  <c r="J41" i="32"/>
  <c r="J44" i="32"/>
  <c r="J45" i="32"/>
  <c r="J55" i="32"/>
  <c r="J32" i="32"/>
  <c r="J23" i="32"/>
  <c r="J61" i="32"/>
  <c r="J16" i="32"/>
  <c r="J17" i="32"/>
  <c r="J46" i="32"/>
  <c r="J56" i="32"/>
  <c r="J20" i="32"/>
  <c r="J49" i="32"/>
  <c r="J63" i="32"/>
  <c r="J12" i="32"/>
  <c r="J40" i="32"/>
  <c r="J18" i="32"/>
  <c r="J26" i="32"/>
  <c r="J24" i="32"/>
  <c r="J62" i="32"/>
  <c r="J25" i="32"/>
  <c r="J35" i="32"/>
  <c r="I30" i="31"/>
  <c r="I65" i="31"/>
  <c r="I51" i="31"/>
  <c r="J6" i="31"/>
  <c r="K5" i="31"/>
  <c r="J39" i="31"/>
  <c r="J47" i="31"/>
  <c r="J14" i="31"/>
  <c r="J42" i="31"/>
  <c r="J27" i="31"/>
  <c r="J57" i="31"/>
  <c r="J11" i="31"/>
  <c r="J22" i="31"/>
  <c r="J34" i="31"/>
  <c r="J19" i="31"/>
  <c r="J54" i="31"/>
  <c r="J33" i="31"/>
  <c r="J12" i="31"/>
  <c r="J40" i="31"/>
  <c r="J46" i="31"/>
  <c r="J56" i="31"/>
  <c r="J63" i="31"/>
  <c r="J61" i="31"/>
  <c r="J36" i="31"/>
  <c r="J37" i="31"/>
  <c r="J35" i="31"/>
  <c r="J18" i="31"/>
  <c r="J13" i="31"/>
  <c r="J41" i="31"/>
  <c r="J8" i="31"/>
  <c r="J9" i="31"/>
  <c r="J20" i="31"/>
  <c r="J48" i="31"/>
  <c r="J44" i="31"/>
  <c r="J45" i="31"/>
  <c r="J55" i="31"/>
  <c r="J58" i="31"/>
  <c r="J15" i="31"/>
  <c r="J43" i="31"/>
  <c r="J26" i="31"/>
  <c r="J23" i="31"/>
  <c r="J21" i="31"/>
  <c r="J49" i="31"/>
  <c r="J16" i="31"/>
  <c r="J17" i="31"/>
  <c r="J28" i="31"/>
  <c r="J53" i="31"/>
  <c r="J59" i="31"/>
  <c r="J24" i="31"/>
  <c r="J62" i="31"/>
  <c r="J25" i="31"/>
  <c r="J32" i="31"/>
  <c r="J38" i="31"/>
  <c r="J60" i="31"/>
  <c r="J10" i="31"/>
  <c r="F51" i="27"/>
  <c r="F30" i="27"/>
  <c r="F65" i="27"/>
  <c r="G6" i="27"/>
  <c r="H5" i="27"/>
  <c r="H38" i="27" s="1"/>
  <c r="G12" i="27"/>
  <c r="G41" i="27"/>
  <c r="G28" i="27"/>
  <c r="G32" i="27"/>
  <c r="G20" i="27"/>
  <c r="G47" i="27"/>
  <c r="G58" i="27"/>
  <c r="G55" i="27"/>
  <c r="G11" i="27"/>
  <c r="G62" i="27"/>
  <c r="G9" i="27"/>
  <c r="G44" i="27"/>
  <c r="G18" i="27"/>
  <c r="G61" i="27"/>
  <c r="G24" i="27"/>
  <c r="G48" i="27"/>
  <c r="G46" i="27"/>
  <c r="G56" i="27"/>
  <c r="G15" i="27"/>
  <c r="G19" i="27"/>
  <c r="G59" i="27"/>
  <c r="G53" i="27"/>
  <c r="G34" i="27"/>
  <c r="G17" i="27"/>
  <c r="G21" i="27"/>
  <c r="G63" i="27"/>
  <c r="G26" i="27"/>
  <c r="G60" i="27"/>
  <c r="G33" i="27"/>
  <c r="G49" i="27"/>
  <c r="G23" i="27"/>
  <c r="G54" i="27"/>
  <c r="G27" i="27"/>
  <c r="G14" i="27"/>
  <c r="G43" i="27"/>
  <c r="G25" i="27"/>
  <c r="G37" i="27"/>
  <c r="G13" i="27"/>
  <c r="G42" i="27"/>
  <c r="G8" i="27"/>
  <c r="G36" i="27"/>
  <c r="G16" i="27"/>
  <c r="G45" i="27"/>
  <c r="G40" i="27"/>
  <c r="G39" i="27"/>
  <c r="G22" i="27"/>
  <c r="G35" i="27"/>
  <c r="G10" i="27"/>
  <c r="E25" i="2"/>
  <c r="E24" i="2"/>
  <c r="E20" i="2"/>
  <c r="E19" i="2"/>
  <c r="E18" i="2"/>
  <c r="E17" i="2"/>
  <c r="E13" i="2"/>
  <c r="E11" i="2"/>
  <c r="E9" i="2"/>
  <c r="E8" i="2"/>
  <c r="B8" i="2"/>
  <c r="B27" i="2"/>
  <c r="B12" i="2"/>
  <c r="E12" i="2" s="1"/>
  <c r="B9" i="2"/>
  <c r="B22" i="2"/>
  <c r="I27" i="2"/>
  <c r="D27" i="2"/>
  <c r="C27" i="2"/>
  <c r="I22" i="2"/>
  <c r="D22" i="2"/>
  <c r="C22" i="2"/>
  <c r="I15" i="2"/>
  <c r="C13" i="2"/>
  <c r="D15" i="2"/>
  <c r="C10" i="2"/>
  <c r="E10" i="2" s="1"/>
  <c r="H26" i="1"/>
  <c r="H22" i="1"/>
  <c r="H15" i="1"/>
  <c r="H28" i="1" s="1"/>
  <c r="D24" i="1"/>
  <c r="D26" i="1"/>
  <c r="G26" i="1" s="1"/>
  <c r="I26" i="1" s="1"/>
  <c r="C26" i="1"/>
  <c r="B26" i="1"/>
  <c r="D19" i="1"/>
  <c r="D18" i="1"/>
  <c r="D17" i="1"/>
  <c r="D13" i="1"/>
  <c r="D12" i="1"/>
  <c r="D11" i="1"/>
  <c r="D10" i="1"/>
  <c r="D9" i="1"/>
  <c r="D8" i="1"/>
  <c r="C15" i="1"/>
  <c r="C20" i="1"/>
  <c r="D20" i="1" s="1"/>
  <c r="B15" i="1"/>
  <c r="C19" i="1"/>
  <c r="C22" i="1" s="1"/>
  <c r="B22" i="1"/>
  <c r="J65" i="32" l="1"/>
  <c r="J30" i="32"/>
  <c r="J51" i="32"/>
  <c r="K62" i="32"/>
  <c r="L62" i="32" s="1"/>
  <c r="K16" i="32"/>
  <c r="L16" i="32" s="1"/>
  <c r="K8" i="32"/>
  <c r="K27" i="32"/>
  <c r="L27" i="32" s="1"/>
  <c r="K10" i="32"/>
  <c r="L10" i="32" s="1"/>
  <c r="K47" i="32"/>
  <c r="L47" i="32" s="1"/>
  <c r="K12" i="32"/>
  <c r="L12" i="32" s="1"/>
  <c r="K19" i="32"/>
  <c r="L19" i="32" s="1"/>
  <c r="K39" i="32"/>
  <c r="L39" i="32" s="1"/>
  <c r="K24" i="32"/>
  <c r="L24" i="32" s="1"/>
  <c r="K11" i="32"/>
  <c r="L11" i="32" s="1"/>
  <c r="K44" i="32"/>
  <c r="L44" i="32" s="1"/>
  <c r="K6" i="32"/>
  <c r="K57" i="32"/>
  <c r="L57" i="32" s="1"/>
  <c r="K54" i="32"/>
  <c r="K36" i="32"/>
  <c r="L36" i="32" s="1"/>
  <c r="K18" i="32"/>
  <c r="L18" i="32" s="1"/>
  <c r="K13" i="32"/>
  <c r="L13" i="32" s="1"/>
  <c r="K14" i="32"/>
  <c r="L14" i="32" s="1"/>
  <c r="K43" i="32"/>
  <c r="L43" i="32" s="1"/>
  <c r="K46" i="32"/>
  <c r="L46" i="32" s="1"/>
  <c r="K49" i="32"/>
  <c r="L49" i="32" s="1"/>
  <c r="K60" i="32"/>
  <c r="L60" i="32" s="1"/>
  <c r="K9" i="32"/>
  <c r="L9" i="32" s="1"/>
  <c r="K37" i="32"/>
  <c r="L37" i="32" s="1"/>
  <c r="K28" i="32"/>
  <c r="L28" i="32" s="1"/>
  <c r="K15" i="32"/>
  <c r="L15" i="32" s="1"/>
  <c r="K21" i="32"/>
  <c r="L21" i="32" s="1"/>
  <c r="K59" i="32"/>
  <c r="L59" i="32" s="1"/>
  <c r="K22" i="32"/>
  <c r="L22" i="32" s="1"/>
  <c r="K61" i="32"/>
  <c r="L61" i="32" s="1"/>
  <c r="K41" i="32"/>
  <c r="L41" i="32" s="1"/>
  <c r="K56" i="32"/>
  <c r="L56" i="32" s="1"/>
  <c r="K53" i="32"/>
  <c r="K17" i="32"/>
  <c r="L17" i="32" s="1"/>
  <c r="K45" i="32"/>
  <c r="L45" i="32" s="1"/>
  <c r="K32" i="32"/>
  <c r="L32" i="32" s="1"/>
  <c r="K23" i="32"/>
  <c r="L23" i="32" s="1"/>
  <c r="K55" i="32"/>
  <c r="L55" i="32" s="1"/>
  <c r="K38" i="32"/>
  <c r="L38" i="32" s="1"/>
  <c r="K33" i="32"/>
  <c r="L33" i="32" s="1"/>
  <c r="K34" i="32"/>
  <c r="L34" i="32" s="1"/>
  <c r="K25" i="32"/>
  <c r="L25" i="32" s="1"/>
  <c r="K40" i="32"/>
  <c r="L40" i="32" s="1"/>
  <c r="K26" i="32"/>
  <c r="L26" i="32" s="1"/>
  <c r="K42" i="32"/>
  <c r="L42" i="32" s="1"/>
  <c r="K48" i="32"/>
  <c r="L48" i="32" s="1"/>
  <c r="K63" i="32"/>
  <c r="L63" i="32" s="1"/>
  <c r="K35" i="32"/>
  <c r="L35" i="32" s="1"/>
  <c r="K20" i="32"/>
  <c r="L20" i="32" s="1"/>
  <c r="K58" i="32"/>
  <c r="L58" i="32" s="1"/>
  <c r="J65" i="31"/>
  <c r="J30" i="31"/>
  <c r="J51" i="31"/>
  <c r="K6" i="31"/>
  <c r="K36" i="31"/>
  <c r="L36" i="31" s="1"/>
  <c r="K47" i="31"/>
  <c r="L47" i="31" s="1"/>
  <c r="K44" i="31"/>
  <c r="L44" i="31" s="1"/>
  <c r="K11" i="31"/>
  <c r="L11" i="31" s="1"/>
  <c r="K24" i="31"/>
  <c r="L24" i="31" s="1"/>
  <c r="K8" i="31"/>
  <c r="K62" i="31"/>
  <c r="L62" i="31" s="1"/>
  <c r="K19" i="31"/>
  <c r="L19" i="31" s="1"/>
  <c r="K39" i="31"/>
  <c r="L39" i="31" s="1"/>
  <c r="K16" i="31"/>
  <c r="L16" i="31" s="1"/>
  <c r="K27" i="31"/>
  <c r="L27" i="31" s="1"/>
  <c r="K18" i="31"/>
  <c r="L18" i="31" s="1"/>
  <c r="K46" i="31"/>
  <c r="L46" i="31" s="1"/>
  <c r="K13" i="31"/>
  <c r="L13" i="31" s="1"/>
  <c r="K14" i="31"/>
  <c r="L14" i="31" s="1"/>
  <c r="K25" i="31"/>
  <c r="L25" i="31" s="1"/>
  <c r="K54" i="31"/>
  <c r="K15" i="31"/>
  <c r="L15" i="31" s="1"/>
  <c r="K49" i="31"/>
  <c r="L49" i="31" s="1"/>
  <c r="K60" i="31"/>
  <c r="L60" i="31" s="1"/>
  <c r="K63" i="31"/>
  <c r="L63" i="31" s="1"/>
  <c r="K20" i="31"/>
  <c r="L20" i="31" s="1"/>
  <c r="K48" i="31"/>
  <c r="L48" i="31" s="1"/>
  <c r="K58" i="31"/>
  <c r="L58" i="31" s="1"/>
  <c r="K57" i="31"/>
  <c r="L57" i="31" s="1"/>
  <c r="K33" i="31"/>
  <c r="L33" i="31" s="1"/>
  <c r="K34" i="31"/>
  <c r="L34" i="31" s="1"/>
  <c r="K26" i="31"/>
  <c r="L26" i="31" s="1"/>
  <c r="K56" i="31"/>
  <c r="L56" i="31" s="1"/>
  <c r="K21" i="31"/>
  <c r="L21" i="31" s="1"/>
  <c r="K59" i="31"/>
  <c r="L59" i="31" s="1"/>
  <c r="K22" i="31"/>
  <c r="L22" i="31" s="1"/>
  <c r="K35" i="31"/>
  <c r="L35" i="31" s="1"/>
  <c r="K32" i="31"/>
  <c r="K53" i="31"/>
  <c r="K28" i="31"/>
  <c r="L28" i="31" s="1"/>
  <c r="K9" i="31"/>
  <c r="L9" i="31" s="1"/>
  <c r="K37" i="31"/>
  <c r="L37" i="31" s="1"/>
  <c r="K43" i="31"/>
  <c r="L43" i="31" s="1"/>
  <c r="K10" i="31"/>
  <c r="L10" i="31" s="1"/>
  <c r="K38" i="31"/>
  <c r="L38" i="31" s="1"/>
  <c r="K17" i="31"/>
  <c r="L17" i="31" s="1"/>
  <c r="K45" i="31"/>
  <c r="L45" i="31" s="1"/>
  <c r="K61" i="31"/>
  <c r="L61" i="31" s="1"/>
  <c r="K41" i="31"/>
  <c r="L41" i="31" s="1"/>
  <c r="K42" i="31"/>
  <c r="L42" i="31" s="1"/>
  <c r="K55" i="31"/>
  <c r="L55" i="31" s="1"/>
  <c r="K12" i="31"/>
  <c r="L12" i="31" s="1"/>
  <c r="K40" i="31"/>
  <c r="L40" i="31" s="1"/>
  <c r="K23" i="31"/>
  <c r="L23" i="31" s="1"/>
  <c r="G65" i="27"/>
  <c r="G51" i="27"/>
  <c r="G30" i="27"/>
  <c r="H6" i="27"/>
  <c r="I5" i="27"/>
  <c r="I38" i="27" s="1"/>
  <c r="H37" i="27"/>
  <c r="H9" i="27"/>
  <c r="H25" i="27"/>
  <c r="H17" i="27"/>
  <c r="H20" i="27"/>
  <c r="H53" i="27"/>
  <c r="H24" i="27"/>
  <c r="H11" i="27"/>
  <c r="H40" i="27"/>
  <c r="H22" i="27"/>
  <c r="H56" i="27"/>
  <c r="H10" i="27"/>
  <c r="H39" i="27"/>
  <c r="H54" i="27"/>
  <c r="H33" i="27"/>
  <c r="H28" i="27"/>
  <c r="H35" i="27"/>
  <c r="H19" i="27"/>
  <c r="H48" i="27"/>
  <c r="H32" i="27"/>
  <c r="H18" i="27"/>
  <c r="H47" i="27"/>
  <c r="H13" i="27"/>
  <c r="H42" i="27"/>
  <c r="H36" i="27"/>
  <c r="H34" i="27"/>
  <c r="H44" i="27"/>
  <c r="H46" i="27"/>
  <c r="H8" i="27"/>
  <c r="H27" i="27"/>
  <c r="H59" i="27"/>
  <c r="H41" i="27"/>
  <c r="H15" i="27"/>
  <c r="H26" i="27"/>
  <c r="H58" i="27"/>
  <c r="H21" i="27"/>
  <c r="H45" i="27"/>
  <c r="H43" i="27"/>
  <c r="H23" i="27"/>
  <c r="H62" i="27"/>
  <c r="H12" i="27"/>
  <c r="H63" i="27"/>
  <c r="H61" i="27"/>
  <c r="H16" i="27"/>
  <c r="H55" i="27"/>
  <c r="H14" i="27"/>
  <c r="H49" i="27"/>
  <c r="H60" i="27"/>
  <c r="D22" i="1"/>
  <c r="G22" i="1" s="1"/>
  <c r="I22" i="1" s="1"/>
  <c r="E27" i="2"/>
  <c r="H27" i="2" s="1"/>
  <c r="J27" i="2" s="1"/>
  <c r="D15" i="1"/>
  <c r="G15" i="1" s="1"/>
  <c r="I15" i="1" s="1"/>
  <c r="I29" i="2"/>
  <c r="B15" i="2"/>
  <c r="E15" i="2"/>
  <c r="H15" i="2" s="1"/>
  <c r="C15" i="2"/>
  <c r="E22" i="2"/>
  <c r="H22" i="2" s="1"/>
  <c r="J22" i="2" s="1"/>
  <c r="K30" i="32" l="1"/>
  <c r="K65" i="32"/>
  <c r="L51" i="32"/>
  <c r="O51" i="32" s="1"/>
  <c r="Q51" i="32" s="1"/>
  <c r="L65" i="32"/>
  <c r="L8" i="32"/>
  <c r="L30" i="32" s="1"/>
  <c r="O30" i="32" s="1"/>
  <c r="K51" i="32"/>
  <c r="K65" i="31"/>
  <c r="K51" i="31"/>
  <c r="L32" i="31"/>
  <c r="L51" i="31" s="1"/>
  <c r="O51" i="31" s="1"/>
  <c r="Q51" i="31" s="1"/>
  <c r="L65" i="31"/>
  <c r="K30" i="31"/>
  <c r="L8" i="31"/>
  <c r="L30" i="31" s="1"/>
  <c r="O30" i="31" s="1"/>
  <c r="H30" i="27"/>
  <c r="H51" i="27"/>
  <c r="H65" i="27"/>
  <c r="I6" i="27"/>
  <c r="J5" i="27"/>
  <c r="J38" i="27" s="1"/>
  <c r="I34" i="27"/>
  <c r="I22" i="27"/>
  <c r="I14" i="27"/>
  <c r="I41" i="27"/>
  <c r="I24" i="27"/>
  <c r="I55" i="27"/>
  <c r="I37" i="27"/>
  <c r="I12" i="27"/>
  <c r="I23" i="27"/>
  <c r="I18" i="27"/>
  <c r="I47" i="27"/>
  <c r="I42" i="27"/>
  <c r="I40" i="27"/>
  <c r="I10" i="27"/>
  <c r="I9" i="27"/>
  <c r="I49" i="27"/>
  <c r="I60" i="27"/>
  <c r="I58" i="27"/>
  <c r="I13" i="27"/>
  <c r="I11" i="27"/>
  <c r="I43" i="27"/>
  <c r="I46" i="27"/>
  <c r="I56" i="27"/>
  <c r="I20" i="27"/>
  <c r="I53" i="27"/>
  <c r="I63" i="27"/>
  <c r="I26" i="27"/>
  <c r="I62" i="27"/>
  <c r="I48" i="27"/>
  <c r="I59" i="27"/>
  <c r="I44" i="27"/>
  <c r="I17" i="27"/>
  <c r="I21" i="27"/>
  <c r="I61" i="27"/>
  <c r="I8" i="27"/>
  <c r="I36" i="27"/>
  <c r="I19" i="27"/>
  <c r="I28" i="27"/>
  <c r="I35" i="27"/>
  <c r="I15" i="27"/>
  <c r="I39" i="27"/>
  <c r="I25" i="27"/>
  <c r="I32" i="27"/>
  <c r="I16" i="27"/>
  <c r="I45" i="27"/>
  <c r="I27" i="27"/>
  <c r="I54" i="27"/>
  <c r="I33" i="27"/>
  <c r="I28" i="1"/>
  <c r="G28" i="1"/>
  <c r="H29" i="2"/>
  <c r="J15" i="2"/>
  <c r="J29" i="2" s="1"/>
  <c r="L66" i="32" l="1"/>
  <c r="O65" i="32"/>
  <c r="Q65" i="32" s="1"/>
  <c r="Q30" i="32"/>
  <c r="Q30" i="31"/>
  <c r="O65" i="31"/>
  <c r="Q65" i="31" s="1"/>
  <c r="L66" i="31"/>
  <c r="I65" i="27"/>
  <c r="I51" i="27"/>
  <c r="I30" i="27"/>
  <c r="J6" i="27"/>
  <c r="K5" i="27"/>
  <c r="K38" i="27" s="1"/>
  <c r="L38" i="27" s="1"/>
  <c r="J40" i="27"/>
  <c r="J27" i="27"/>
  <c r="J19" i="27"/>
  <c r="J11" i="27"/>
  <c r="J59" i="27"/>
  <c r="J43" i="27"/>
  <c r="J17" i="27"/>
  <c r="J48" i="27"/>
  <c r="J28" i="27"/>
  <c r="J53" i="27"/>
  <c r="J60" i="27"/>
  <c r="J23" i="27"/>
  <c r="J47" i="27"/>
  <c r="J45" i="27"/>
  <c r="J55" i="27"/>
  <c r="J14" i="27"/>
  <c r="J63" i="27"/>
  <c r="J18" i="27"/>
  <c r="J58" i="27"/>
  <c r="J33" i="27"/>
  <c r="J16" i="27"/>
  <c r="J56" i="27"/>
  <c r="J61" i="27"/>
  <c r="J62" i="27"/>
  <c r="J25" i="27"/>
  <c r="J32" i="27"/>
  <c r="J22" i="27"/>
  <c r="J26" i="27"/>
  <c r="J13" i="27"/>
  <c r="J42" i="27"/>
  <c r="J24" i="27"/>
  <c r="J12" i="27"/>
  <c r="J41" i="27"/>
  <c r="J35" i="27"/>
  <c r="J37" i="27"/>
  <c r="J54" i="27"/>
  <c r="J21" i="27"/>
  <c r="J8" i="27"/>
  <c r="J34" i="27"/>
  <c r="J9" i="27"/>
  <c r="J20" i="27"/>
  <c r="J49" i="27"/>
  <c r="J15" i="27"/>
  <c r="J44" i="27"/>
  <c r="J39" i="27"/>
  <c r="J36" i="27"/>
  <c r="J46" i="27"/>
  <c r="J10" i="27"/>
  <c r="Q67" i="32" l="1"/>
  <c r="O67" i="32"/>
  <c r="Q67" i="31"/>
  <c r="O67" i="31"/>
  <c r="J51" i="27"/>
  <c r="J65" i="27"/>
  <c r="J30" i="27"/>
  <c r="K6" i="27"/>
  <c r="K16" i="27"/>
  <c r="L16" i="27" s="1"/>
  <c r="K8" i="27"/>
  <c r="K36" i="27"/>
  <c r="L36" i="27" s="1"/>
  <c r="K24" i="27"/>
  <c r="L24" i="27" s="1"/>
  <c r="K9" i="27"/>
  <c r="L9" i="27" s="1"/>
  <c r="K37" i="27"/>
  <c r="L37" i="27" s="1"/>
  <c r="K32" i="27"/>
  <c r="K27" i="27"/>
  <c r="L27" i="27" s="1"/>
  <c r="K34" i="27"/>
  <c r="L34" i="27" s="1"/>
  <c r="K18" i="27"/>
  <c r="L18" i="27" s="1"/>
  <c r="K47" i="27"/>
  <c r="L47" i="27" s="1"/>
  <c r="K17" i="27"/>
  <c r="L17" i="27" s="1"/>
  <c r="K46" i="27"/>
  <c r="L46" i="27" s="1"/>
  <c r="K12" i="27"/>
  <c r="L12" i="27" s="1"/>
  <c r="K41" i="27"/>
  <c r="L41" i="27" s="1"/>
  <c r="K35" i="27"/>
  <c r="L35" i="27" s="1"/>
  <c r="K33" i="27"/>
  <c r="L33" i="27" s="1"/>
  <c r="K23" i="27"/>
  <c r="L23" i="27" s="1"/>
  <c r="K63" i="27"/>
  <c r="L63" i="27" s="1"/>
  <c r="K54" i="27"/>
  <c r="K43" i="27"/>
  <c r="L43" i="27" s="1"/>
  <c r="K26" i="27"/>
  <c r="L26" i="27" s="1"/>
  <c r="K58" i="27"/>
  <c r="L58" i="27" s="1"/>
  <c r="K40" i="27"/>
  <c r="L40" i="27" s="1"/>
  <c r="K14" i="27"/>
  <c r="L14" i="27" s="1"/>
  <c r="K25" i="27"/>
  <c r="L25" i="27" s="1"/>
  <c r="K56" i="27"/>
  <c r="L56" i="27" s="1"/>
  <c r="K20" i="27"/>
  <c r="L20" i="27" s="1"/>
  <c r="K49" i="27"/>
  <c r="L49" i="27" s="1"/>
  <c r="K44" i="27"/>
  <c r="L44" i="27" s="1"/>
  <c r="K42" i="27"/>
  <c r="L42" i="27" s="1"/>
  <c r="K11" i="27"/>
  <c r="L11" i="27" s="1"/>
  <c r="K62" i="27"/>
  <c r="L62" i="27" s="1"/>
  <c r="K60" i="27"/>
  <c r="L60" i="27" s="1"/>
  <c r="K15" i="27"/>
  <c r="L15" i="27" s="1"/>
  <c r="K13" i="27"/>
  <c r="L13" i="27" s="1"/>
  <c r="K10" i="27"/>
  <c r="L10" i="27" s="1"/>
  <c r="K39" i="27"/>
  <c r="L39" i="27" s="1"/>
  <c r="K21" i="27"/>
  <c r="L21" i="27" s="1"/>
  <c r="K55" i="27"/>
  <c r="L55" i="27" s="1"/>
  <c r="K48" i="27"/>
  <c r="L48" i="27" s="1"/>
  <c r="K59" i="27"/>
  <c r="L59" i="27" s="1"/>
  <c r="K22" i="27"/>
  <c r="L22" i="27" s="1"/>
  <c r="K28" i="27"/>
  <c r="L28" i="27" s="1"/>
  <c r="K53" i="27"/>
  <c r="K61" i="27"/>
  <c r="L61" i="27" s="1"/>
  <c r="K19" i="27"/>
  <c r="L19" i="27" s="1"/>
  <c r="K45" i="27"/>
  <c r="L45" i="27" s="1"/>
  <c r="G6" i="33"/>
  <c r="G7" i="33"/>
  <c r="C6" i="8"/>
  <c r="C5" i="8"/>
  <c r="P7" i="33" l="1"/>
  <c r="N7" i="33"/>
  <c r="J7" i="33"/>
  <c r="L7" i="33"/>
  <c r="P6" i="33"/>
  <c r="J6" i="33"/>
  <c r="N6" i="33"/>
  <c r="L6" i="33"/>
  <c r="K30" i="27"/>
  <c r="L8" i="27"/>
  <c r="L30" i="27" s="1"/>
  <c r="O30" i="27" s="1"/>
  <c r="L65" i="27"/>
  <c r="L66" i="27" s="1"/>
  <c r="K51" i="27"/>
  <c r="L32" i="27"/>
  <c r="L51" i="27" s="1"/>
  <c r="O51" i="27" s="1"/>
  <c r="Q51" i="27" s="1"/>
  <c r="K65" i="27"/>
  <c r="O65" i="27" l="1"/>
  <c r="Q65" i="27" s="1"/>
  <c r="Q30" i="27"/>
  <c r="Q67" i="27" l="1"/>
  <c r="O67" i="27"/>
  <c r="G5" i="33"/>
  <c r="C4" i="8"/>
  <c r="I5" i="33" l="1"/>
  <c r="P5" i="33"/>
  <c r="N5" i="33"/>
  <c r="L5" i="33"/>
  <c r="J5" i="33"/>
  <c r="C14" i="8"/>
  <c r="K5" i="33" l="1"/>
  <c r="M5" i="33" l="1"/>
  <c r="O5" i="33" l="1"/>
  <c r="Q5" i="33" s="1"/>
  <c r="S5" i="33" s="1"/>
  <c r="I6" i="33" s="1"/>
  <c r="R5" i="33" l="1"/>
  <c r="D4" i="8" s="1"/>
  <c r="T5" i="33"/>
  <c r="K6" i="33"/>
  <c r="M6" i="33" l="1"/>
  <c r="O6" i="33" s="1"/>
  <c r="Q6" i="33" s="1"/>
  <c r="R6" i="33" l="1"/>
  <c r="D5" i="8" s="1"/>
  <c r="T6" i="33"/>
  <c r="S6" i="33"/>
  <c r="I7" i="33" s="1"/>
  <c r="K7" i="33" l="1"/>
  <c r="M7" i="33" s="1"/>
  <c r="O7" i="33" s="1"/>
  <c r="Q7" i="33" s="1"/>
  <c r="S7" i="33" s="1"/>
  <c r="K8" i="33" l="1"/>
  <c r="M8" i="33" s="1"/>
  <c r="O8" i="33" s="1"/>
  <c r="Q8" i="33" s="1"/>
  <c r="R7" i="33"/>
  <c r="D6" i="8" s="1"/>
  <c r="T7" i="33"/>
  <c r="T8" i="33" l="1"/>
  <c r="S8" i="33"/>
  <c r="R8" i="33"/>
  <c r="D7" i="8" s="1"/>
  <c r="K9" i="33" l="1"/>
  <c r="M9" i="33" s="1"/>
  <c r="O9" i="33" s="1"/>
  <c r="Q9" i="33" s="1"/>
  <c r="S9" i="33" s="1"/>
  <c r="R9" i="33" l="1"/>
  <c r="D8" i="8" s="1"/>
  <c r="T9" i="33"/>
  <c r="K10" i="33" s="1"/>
  <c r="M10" i="33" s="1"/>
  <c r="O10" i="33" s="1"/>
  <c r="Q10" i="33" s="1"/>
  <c r="S10" i="33" s="1"/>
  <c r="T10" i="33" l="1"/>
  <c r="R10" i="33"/>
  <c r="D9" i="8" s="1"/>
  <c r="K11" i="33"/>
  <c r="M11" i="33" s="1"/>
  <c r="O11" i="33" s="1"/>
  <c r="Q11" i="33" s="1"/>
  <c r="S11" i="33" s="1"/>
  <c r="R11" i="33" l="1"/>
  <c r="D10" i="8" s="1"/>
  <c r="T11" i="33"/>
  <c r="K12" i="33"/>
  <c r="M12" i="33" l="1"/>
  <c r="O12" i="33" s="1"/>
  <c r="Q12" i="33" s="1"/>
  <c r="S12" i="33" s="1"/>
  <c r="K13" i="33" l="1"/>
  <c r="M13" i="33" s="1"/>
  <c r="O13" i="33" s="1"/>
  <c r="Q13" i="33" s="1"/>
  <c r="S13" i="33" s="1"/>
  <c r="R12" i="33"/>
  <c r="D11" i="8" s="1"/>
  <c r="T12" i="33"/>
  <c r="R13" i="33" l="1"/>
  <c r="D12" i="8" s="1"/>
  <c r="D14" i="8" s="1"/>
  <c r="C15" i="8" s="1"/>
  <c r="T13" i="33"/>
</calcChain>
</file>

<file path=xl/comments1.xml><?xml version="1.0" encoding="utf-8"?>
<comments xmlns="http://schemas.openxmlformats.org/spreadsheetml/2006/main">
  <authors>
    <author>Jarrett Urech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2013 Adjustments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adjustment from 2014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2013 persistance adjustments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Jarrett Urech:</t>
        </r>
        <r>
          <rPr>
            <sz val="9"/>
            <color indexed="81"/>
            <rFont val="Tahoma"/>
            <family val="2"/>
          </rPr>
          <t xml:space="preserve">
Add adjustments from 2014</t>
        </r>
      </text>
    </comment>
  </commentList>
</comments>
</file>

<file path=xl/sharedStrings.xml><?xml version="1.0" encoding="utf-8"?>
<sst xmlns="http://schemas.openxmlformats.org/spreadsheetml/2006/main" count="743" uniqueCount="118">
  <si>
    <t>Appliance Retirement</t>
  </si>
  <si>
    <t>Appliance Exchange</t>
  </si>
  <si>
    <t>HVAC Incentives</t>
  </si>
  <si>
    <t>Conservation Instant Coupon Booklet</t>
  </si>
  <si>
    <t>Bi-Annual Retailer Event</t>
  </si>
  <si>
    <t>New</t>
  </si>
  <si>
    <t>Home Assistance Program</t>
  </si>
  <si>
    <t>Direct Install Lighting</t>
  </si>
  <si>
    <t>High Performance New Construction</t>
  </si>
  <si>
    <t>Total Residential</t>
  </si>
  <si>
    <t>Total GS &lt; 50 kW</t>
  </si>
  <si>
    <t>Program</t>
  </si>
  <si>
    <t>Persistence</t>
  </si>
  <si>
    <t>Electricity Retrofit Incentive Program</t>
  </si>
  <si>
    <t>Retrofit</t>
  </si>
  <si>
    <t>Total</t>
  </si>
  <si>
    <t>Average</t>
  </si>
  <si>
    <t>Rate</t>
  </si>
  <si>
    <t>Savings</t>
  </si>
  <si>
    <t>Total GS 50 - 4,999 kW</t>
  </si>
  <si>
    <t>Grand Total LRAMVA</t>
  </si>
  <si>
    <t>Calculated</t>
  </si>
  <si>
    <t>Forecast</t>
  </si>
  <si>
    <t>$</t>
  </si>
  <si>
    <t>LRAMVA</t>
  </si>
  <si>
    <t>2012 LRAMVA Calculation</t>
  </si>
  <si>
    <t>2013 LRAMVA Calculation</t>
  </si>
  <si>
    <t>Energy Manager</t>
  </si>
  <si>
    <t>kWh/kW</t>
  </si>
  <si>
    <t>Sector2</t>
  </si>
  <si>
    <t>Initiative</t>
  </si>
  <si>
    <t>LDC</t>
  </si>
  <si>
    <t>(Implementation) Year</t>
  </si>
  <si>
    <t>Report</t>
  </si>
  <si>
    <t>Business</t>
  </si>
  <si>
    <t>Time-of-Use Savings</t>
  </si>
  <si>
    <t/>
  </si>
  <si>
    <t>Consumer</t>
  </si>
  <si>
    <t>Retailer Co-op</t>
  </si>
  <si>
    <t>Residential Demand Response</t>
  </si>
  <si>
    <t>Industrial</t>
  </si>
  <si>
    <t>DR-3</t>
  </si>
  <si>
    <t>Demand Response 3 (part of the Industrial program schedule)</t>
  </si>
  <si>
    <t>Demand Response 3</t>
  </si>
  <si>
    <t>Commercial Demand Response</t>
  </si>
  <si>
    <t>GS&lt;50</t>
  </si>
  <si>
    <t>GS&gt;50</t>
  </si>
  <si>
    <t>kW</t>
  </si>
  <si>
    <t>Year</t>
  </si>
  <si>
    <t>Effective</t>
  </si>
  <si>
    <t>Coupon Initiative</t>
  </si>
  <si>
    <t>Bi-Annual Retailer Event Initiative</t>
  </si>
  <si>
    <t>Appliance Retirement Initiative</t>
  </si>
  <si>
    <t>HVAC Incentives Initiative</t>
  </si>
  <si>
    <t>Residential New Construction and Major Renovation Initiative</t>
  </si>
  <si>
    <t>Energy Audit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</si>
  <si>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</si>
  <si>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</si>
  <si>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</si>
  <si>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</si>
  <si>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</si>
  <si>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</si>
  <si>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</si>
  <si>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Loblaws Pilot</t>
  </si>
  <si>
    <t>Social Benchmarking Pliot</t>
  </si>
  <si>
    <t>Conservation Fund Pilot - SEG</t>
  </si>
  <si>
    <t>Conservation Fund Pilot - EnerNOC</t>
  </si>
  <si>
    <t>Aboriginal Conservation Program</t>
  </si>
  <si>
    <t>Program Enabled Savings</t>
  </si>
  <si>
    <t>Energy Audit</t>
  </si>
  <si>
    <t>peaksaverPLUS</t>
  </si>
  <si>
    <t>peaksaverPLUS (IHD)</t>
  </si>
  <si>
    <t>Small Business Lighting</t>
  </si>
  <si>
    <t>Annual Coupons</t>
  </si>
  <si>
    <t>Bi-Annual Retailer Events</t>
  </si>
  <si>
    <t>HVAC</t>
  </si>
  <si>
    <t>Distributor</t>
  </si>
  <si>
    <t>Effective Date</t>
  </si>
  <si>
    <t>Implementation Date</t>
  </si>
  <si>
    <t>Service Classification</t>
  </si>
  <si>
    <t>Distribution Volumetric Rate</t>
  </si>
  <si>
    <t>Database</t>
  </si>
  <si>
    <t>Type</t>
  </si>
  <si>
    <t>Residential</t>
  </si>
  <si>
    <t>General Service Less Than 50 kW</t>
  </si>
  <si>
    <t>General Service 50 to 4,999 kW</t>
  </si>
  <si>
    <t>kWh</t>
  </si>
  <si>
    <t>*Do Not Include</t>
  </si>
  <si>
    <t>*3 Months Only</t>
  </si>
  <si>
    <t>LRAMVA ($)</t>
  </si>
  <si>
    <t>Energy Audit Funding</t>
  </si>
  <si>
    <t>Street Lighting</t>
  </si>
  <si>
    <t>SL</t>
  </si>
  <si>
    <t>Last Approved Cost of Service</t>
  </si>
  <si>
    <t>CDM Forecast Figures</t>
  </si>
  <si>
    <t>GS&lt;50kW</t>
  </si>
  <si>
    <t>GS&gt;50kW</t>
  </si>
  <si>
    <t>Rideau St. Lawrence Distribution Inc.</t>
  </si>
  <si>
    <t>2014 Persistance</t>
  </si>
  <si>
    <t>2013 Persistance</t>
  </si>
  <si>
    <t>2012 Persistance</t>
  </si>
  <si>
    <t>2011 Persistance</t>
  </si>
  <si>
    <t>Energy Managers</t>
  </si>
  <si>
    <t>Sentinel Lighting</t>
  </si>
  <si>
    <t>Quarter</t>
  </si>
  <si>
    <t>Q1</t>
  </si>
  <si>
    <t>Q2</t>
  </si>
  <si>
    <t>Q3</t>
  </si>
  <si>
    <t>Q4</t>
  </si>
  <si>
    <t>New Carry Figures</t>
  </si>
  <si>
    <t>Interest</t>
  </si>
  <si>
    <t>New Interest</t>
  </si>
  <si>
    <t>Carry Forward</t>
  </si>
  <si>
    <t>Qtr Value</t>
  </si>
  <si>
    <t>Value</t>
  </si>
  <si>
    <t>Cumulative Total</t>
  </si>
  <si>
    <t>Carry Charges</t>
  </si>
  <si>
    <t>Sub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</si>
</sst>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00_-;\-* #,##0.000000_-;_-* &quot;-&quot;??_-;_-@_-"/>
    <numFmt numFmtId="167" formatCode="[$-F800]dddd\,\ mmmm\ dd\,\ yyyy"/>
    <numFmt numFmtId="168" formatCode="0.0000"/>
    <numFmt numFmtId="169" formatCode="_-&quot;$&quot;* #,##0.0000_-;\-&quot;$&quot;* #,##0.00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1" fillId="0" borderId="0"/>
  </cellStyleXfs>
  <cellXfs count="71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5" fontId="0" fillId="0" borderId="0" xfId="1" applyNumberFormat="1" applyFont="1"/>
    <xf numFmtId="0" fontId="0" fillId="0" borderId="2" xfId="0" applyFill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165" fontId="0" fillId="0" borderId="1" xfId="1" applyNumberFormat="1" applyFont="1" applyBorder="1"/>
    <xf numFmtId="43" fontId="0" fillId="0" borderId="1" xfId="1" applyFont="1" applyBorder="1"/>
    <xf numFmtId="43" fontId="0" fillId="0" borderId="3" xfId="1" applyFont="1" applyBorder="1"/>
    <xf numFmtId="164" fontId="0" fillId="2" borderId="0" xfId="1" applyNumberFormat="1" applyFont="1" applyFill="1"/>
    <xf numFmtId="164" fontId="0" fillId="3" borderId="0" xfId="1" applyNumberFormat="1" applyFont="1" applyFill="1"/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0" borderId="0" xfId="0" applyFont="1" applyFill="1"/>
    <xf numFmtId="1" fontId="6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/>
    <xf numFmtId="4" fontId="6" fillId="0" borderId="0" xfId="0" applyNumberFormat="1" applyFont="1" applyFill="1"/>
    <xf numFmtId="9" fontId="0" fillId="0" borderId="0" xfId="2" applyFont="1"/>
    <xf numFmtId="43" fontId="0" fillId="0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1" applyNumberFormat="1" applyFont="1"/>
    <xf numFmtId="166" fontId="0" fillId="0" borderId="0" xfId="1" applyNumberFormat="1" applyFont="1"/>
    <xf numFmtId="0" fontId="4" fillId="6" borderId="0" xfId="0" applyFont="1" applyFill="1" applyBorder="1" applyAlignment="1">
      <alignment horizontal="center" vertical="center" wrapText="1"/>
    </xf>
    <xf numFmtId="44" fontId="0" fillId="0" borderId="0" xfId="4" applyFont="1"/>
    <xf numFmtId="164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7" borderId="0" xfId="5" applyFont="1" applyFill="1" applyAlignment="1">
      <alignment horizontal="center" vertical="center"/>
    </xf>
    <xf numFmtId="167" fontId="7" fillId="0" borderId="0" xfId="0" applyNumberFormat="1" applyFont="1" applyAlignment="1">
      <alignment horizontal="right"/>
    </xf>
    <xf numFmtId="0" fontId="0" fillId="0" borderId="0" xfId="0" applyAlignment="1"/>
    <xf numFmtId="168" fontId="0" fillId="0" borderId="0" xfId="0" applyNumberFormat="1" applyAlignment="1">
      <alignment horizontal="right"/>
    </xf>
    <xf numFmtId="167" fontId="7" fillId="0" borderId="0" xfId="6" applyNumberFormat="1" applyFont="1" applyAlignment="1">
      <alignment horizontal="right"/>
    </xf>
    <xf numFmtId="0" fontId="7" fillId="0" borderId="0" xfId="6" applyAlignment="1"/>
    <xf numFmtId="168" fontId="7" fillId="0" borderId="0" xfId="6" applyNumberFormat="1" applyAlignment="1">
      <alignment horizontal="right"/>
    </xf>
    <xf numFmtId="0" fontId="7" fillId="0" borderId="0" xfId="6" applyAlignment="1">
      <alignment vertical="center"/>
    </xf>
    <xf numFmtId="167" fontId="7" fillId="0" borderId="0" xfId="6" applyNumberFormat="1" applyFont="1" applyAlignment="1">
      <alignment horizontal="right" vertical="center"/>
    </xf>
    <xf numFmtId="168" fontId="7" fillId="0" borderId="0" xfId="6" applyNumberFormat="1" applyAlignment="1">
      <alignment horizontal="right" vertical="center"/>
    </xf>
    <xf numFmtId="0" fontId="7" fillId="0" borderId="0" xfId="7" applyAlignment="1"/>
    <xf numFmtId="0" fontId="0" fillId="0" borderId="0" xfId="0" applyFill="1" applyAlignment="1"/>
    <xf numFmtId="168" fontId="0" fillId="0" borderId="0" xfId="0" applyNumberFormat="1" applyFill="1" applyAlignment="1"/>
    <xf numFmtId="169" fontId="0" fillId="0" borderId="0" xfId="4" applyNumberFormat="1" applyFont="1" applyAlignment="1">
      <alignment horizontal="center" vertical="center"/>
    </xf>
    <xf numFmtId="43" fontId="0" fillId="3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43" fontId="0" fillId="0" borderId="0" xfId="1" applyNumberFormat="1" applyFont="1" applyAlignment="1">
      <alignment horizontal="center" vertical="center"/>
    </xf>
    <xf numFmtId="0" fontId="10" fillId="0" borderId="0" xfId="0" applyFont="1"/>
    <xf numFmtId="44" fontId="10" fillId="0" borderId="0" xfId="0" applyNumberFormat="1" applyFont="1"/>
    <xf numFmtId="0" fontId="0" fillId="0" borderId="0" xfId="0" applyFill="1"/>
    <xf numFmtId="0" fontId="7" fillId="0" borderId="0" xfId="6"/>
    <xf numFmtId="168" fontId="0" fillId="0" borderId="0" xfId="0" applyNumberFormat="1"/>
    <xf numFmtId="168" fontId="7" fillId="0" borderId="0" xfId="6" applyNumberFormat="1"/>
    <xf numFmtId="0" fontId="7" fillId="0" borderId="0" xfId="7"/>
    <xf numFmtId="168" fontId="7" fillId="0" borderId="0" xfId="7" applyNumberFormat="1"/>
    <xf numFmtId="0" fontId="0" fillId="0" borderId="0" xfId="0" applyFill="1" applyAlignment="1">
      <alignment wrapText="1"/>
    </xf>
    <xf numFmtId="168" fontId="0" fillId="0" borderId="0" xfId="0" applyNumberFormat="1" applyFill="1"/>
    <xf numFmtId="43" fontId="0" fillId="0" borderId="1" xfId="1" applyNumberFormat="1" applyFont="1" applyBorder="1" applyAlignment="1">
      <alignment horizontal="center" vertical="center"/>
    </xf>
    <xf numFmtId="43" fontId="0" fillId="0" borderId="0" xfId="4" applyNumberFormat="1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3" xfId="4" applyNumberFormat="1" applyFont="1" applyBorder="1" applyAlignment="1">
      <alignment horizontal="center" vertical="center"/>
    </xf>
    <xf numFmtId="44" fontId="0" fillId="0" borderId="0" xfId="4" applyNumberFormat="1" applyFont="1"/>
    <xf numFmtId="0" fontId="0" fillId="0" borderId="0" xfId="0" applyAlignment="1">
      <alignment horizontal="center"/>
    </xf>
    <xf numFmtId="44" fontId="0" fillId="0" borderId="0" xfId="4" applyFont="1" applyAlignment="1">
      <alignment horizontal="center"/>
    </xf>
  </cellXfs>
  <cellStyles count="9">
    <cellStyle name="Comma" xfId="1" builtinId="3"/>
    <cellStyle name="Currency" xfId="4" builtinId="4"/>
    <cellStyle name="Normal" xfId="0" builtinId="0"/>
    <cellStyle name="Normal 2" xfId="3"/>
    <cellStyle name="Normal 2 2" xfId="8"/>
    <cellStyle name="Normal 3" xfId="6"/>
    <cellStyle name="Normal 4" xfId="7"/>
    <cellStyle name="Normal_Sheet1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2"/>
  <sheetViews>
    <sheetView workbookViewId="0"/>
  </sheetViews>
  <sheetFormatPr defaultRowHeight="15" x14ac:dyDescent="0.25"/>
  <cols>
    <col min="1" max="1" width="33.5703125" customWidth="1"/>
    <col min="2" max="2" width="11.5703125" bestFit="1" customWidth="1"/>
    <col min="3" max="3" width="11.5703125" customWidth="1"/>
    <col min="7" max="7" width="10.5703125" style="1" bestFit="1" customWidth="1"/>
    <col min="8" max="9" width="9.5703125" style="1" bestFit="1" customWidth="1"/>
  </cols>
  <sheetData>
    <row r="1" spans="1:14" x14ac:dyDescent="0.25">
      <c r="A1" t="s">
        <v>25</v>
      </c>
    </row>
    <row r="4" spans="1:14" x14ac:dyDescent="0.25">
      <c r="D4" s="4">
        <v>2012</v>
      </c>
      <c r="E4" s="4" t="s">
        <v>28</v>
      </c>
    </row>
    <row r="5" spans="1:14" x14ac:dyDescent="0.25">
      <c r="B5" s="4">
        <v>2012</v>
      </c>
      <c r="C5" s="4">
        <v>2011</v>
      </c>
      <c r="D5" s="4" t="s">
        <v>15</v>
      </c>
      <c r="E5" t="s">
        <v>22</v>
      </c>
      <c r="F5" t="s">
        <v>16</v>
      </c>
      <c r="G5" s="9" t="s">
        <v>21</v>
      </c>
      <c r="H5" s="9" t="s">
        <v>22</v>
      </c>
    </row>
    <row r="6" spans="1:14" x14ac:dyDescent="0.25">
      <c r="A6" s="5" t="s">
        <v>11</v>
      </c>
      <c r="B6" s="5" t="s">
        <v>5</v>
      </c>
      <c r="C6" s="5" t="s">
        <v>12</v>
      </c>
      <c r="D6" s="5" t="s">
        <v>18</v>
      </c>
      <c r="E6" s="7" t="s">
        <v>18</v>
      </c>
      <c r="F6" s="7" t="s">
        <v>17</v>
      </c>
      <c r="G6" s="8" t="s">
        <v>23</v>
      </c>
      <c r="H6" s="8" t="s">
        <v>23</v>
      </c>
      <c r="I6" s="8" t="s">
        <v>24</v>
      </c>
    </row>
    <row r="8" spans="1:14" x14ac:dyDescent="0.25">
      <c r="A8" t="s">
        <v>0</v>
      </c>
      <c r="B8" s="14">
        <v>40193</v>
      </c>
      <c r="C8" s="14">
        <v>43726</v>
      </c>
      <c r="D8" s="2">
        <f>+B8+C8</f>
        <v>83919</v>
      </c>
      <c r="E8" s="2"/>
      <c r="F8" s="6"/>
      <c r="J8" s="2"/>
      <c r="K8" s="2"/>
      <c r="L8" s="2"/>
      <c r="M8" s="2"/>
      <c r="N8" s="2"/>
    </row>
    <row r="9" spans="1:14" x14ac:dyDescent="0.25">
      <c r="A9" t="s">
        <v>1</v>
      </c>
      <c r="B9" s="14">
        <v>6693</v>
      </c>
      <c r="C9" s="14">
        <v>1139</v>
      </c>
      <c r="D9" s="2">
        <f t="shared" ref="D9:D13" si="0">+B9+C9</f>
        <v>7832</v>
      </c>
      <c r="E9" s="2"/>
      <c r="F9" s="6"/>
      <c r="J9" s="2"/>
      <c r="K9" s="2"/>
      <c r="L9" s="2"/>
      <c r="M9" s="2"/>
      <c r="N9" s="2"/>
    </row>
    <row r="10" spans="1:14" x14ac:dyDescent="0.25">
      <c r="A10" t="s">
        <v>2</v>
      </c>
      <c r="B10" s="13">
        <f>38767+(1.846992707165*1000)</f>
        <v>40613.992707165002</v>
      </c>
      <c r="C10" s="14">
        <f>61704-10572</f>
        <v>51132</v>
      </c>
      <c r="D10" s="2">
        <f t="shared" si="0"/>
        <v>91745.992707165002</v>
      </c>
      <c r="E10" s="2"/>
      <c r="F10" s="6"/>
      <c r="J10" s="2"/>
      <c r="K10" s="2"/>
      <c r="L10" s="2"/>
      <c r="M10" s="2"/>
      <c r="N10" s="2"/>
    </row>
    <row r="11" spans="1:14" x14ac:dyDescent="0.25">
      <c r="A11" t="s">
        <v>3</v>
      </c>
      <c r="B11" s="14">
        <f>1566</f>
        <v>1566</v>
      </c>
      <c r="C11" s="14">
        <f>20878+309</f>
        <v>21187</v>
      </c>
      <c r="D11" s="2">
        <f t="shared" si="0"/>
        <v>22753</v>
      </c>
      <c r="E11" s="2"/>
      <c r="F11" s="6"/>
      <c r="J11" s="2"/>
      <c r="K11" s="2"/>
      <c r="L11" s="2"/>
      <c r="M11" s="2"/>
      <c r="N11" s="2"/>
    </row>
    <row r="12" spans="1:14" x14ac:dyDescent="0.25">
      <c r="A12" t="s">
        <v>4</v>
      </c>
      <c r="B12" s="14">
        <f>29999</f>
        <v>29999</v>
      </c>
      <c r="C12" s="14">
        <f>32918+2446</f>
        <v>35364</v>
      </c>
      <c r="D12" s="2">
        <f t="shared" si="0"/>
        <v>65363</v>
      </c>
      <c r="E12" s="2"/>
      <c r="F12" s="6"/>
      <c r="J12" s="2"/>
      <c r="K12" s="2"/>
      <c r="L12" s="2"/>
      <c r="M12" s="2"/>
      <c r="N12" s="2"/>
    </row>
    <row r="13" spans="1:14" x14ac:dyDescent="0.25">
      <c r="A13" t="s">
        <v>6</v>
      </c>
      <c r="B13" s="13">
        <f>10379+(0.883*1000)</f>
        <v>11262</v>
      </c>
      <c r="C13" s="2"/>
      <c r="D13" s="2">
        <f t="shared" si="0"/>
        <v>11262</v>
      </c>
      <c r="E13" s="2"/>
      <c r="F13" s="6"/>
      <c r="J13" s="2"/>
      <c r="K13" s="2"/>
      <c r="L13" s="2"/>
      <c r="M13" s="2"/>
      <c r="N13" s="2"/>
    </row>
    <row r="14" spans="1:14" x14ac:dyDescent="0.25">
      <c r="B14" s="2"/>
      <c r="C14" s="2"/>
      <c r="D14" s="2"/>
      <c r="E14" s="2"/>
      <c r="F14" s="2"/>
      <c r="J14" s="2"/>
      <c r="K14" s="2"/>
      <c r="L14" s="2"/>
      <c r="M14" s="2"/>
      <c r="N14" s="2"/>
    </row>
    <row r="15" spans="1:14" x14ac:dyDescent="0.25">
      <c r="A15" t="s">
        <v>9</v>
      </c>
      <c r="B15" s="3">
        <f>SUM(B8:B14)</f>
        <v>130326.992707165</v>
      </c>
      <c r="C15" s="3">
        <f>SUM(C8:C14)</f>
        <v>152548</v>
      </c>
      <c r="D15" s="3">
        <f>SUM(D8:D14)</f>
        <v>282874.99270716502</v>
      </c>
      <c r="E15" s="3">
        <v>522335</v>
      </c>
      <c r="F15" s="10">
        <v>1.3100000000000001E-2</v>
      </c>
      <c r="G15" s="11">
        <f>ROUND(D15*F15,2)</f>
        <v>3705.66</v>
      </c>
      <c r="H15" s="11">
        <f>ROUND(E15*F15,2)</f>
        <v>6842.59</v>
      </c>
      <c r="I15" s="11">
        <f>+G15-H15</f>
        <v>-3136.9300000000003</v>
      </c>
      <c r="J15" s="2"/>
      <c r="K15" s="2"/>
      <c r="L15" s="2"/>
      <c r="M15" s="2"/>
      <c r="N15" s="2"/>
    </row>
    <row r="16" spans="1:14" x14ac:dyDescent="0.25">
      <c r="B16" s="2"/>
      <c r="C16" s="2"/>
      <c r="D16" s="2"/>
      <c r="E16" s="2"/>
      <c r="F16" s="2"/>
      <c r="J16" s="2"/>
      <c r="K16" s="2"/>
      <c r="L16" s="2"/>
      <c r="M16" s="2"/>
      <c r="N16" s="2"/>
    </row>
    <row r="17" spans="1:14" x14ac:dyDescent="0.25">
      <c r="A17" t="s">
        <v>7</v>
      </c>
      <c r="B17" s="13">
        <f>225555+(5.63950025006*1000)</f>
        <v>231194.50025005999</v>
      </c>
      <c r="C17" s="14">
        <f>267169+5137</f>
        <v>272306</v>
      </c>
      <c r="D17" s="2">
        <f t="shared" ref="D17:D20" si="1">+B17+C17</f>
        <v>503500.50025005999</v>
      </c>
      <c r="E17" s="2"/>
      <c r="F17" s="2"/>
      <c r="J17" s="2"/>
      <c r="K17" s="2"/>
      <c r="L17" s="2"/>
      <c r="M17" s="2"/>
      <c r="N17" s="2"/>
    </row>
    <row r="18" spans="1:14" x14ac:dyDescent="0.25">
      <c r="A18" t="s">
        <v>8</v>
      </c>
      <c r="B18" s="13">
        <f>123+(98.12328*1000)</f>
        <v>98246.28</v>
      </c>
      <c r="C18" s="14">
        <f>238332-144547</f>
        <v>93785</v>
      </c>
      <c r="D18" s="2">
        <f t="shared" si="1"/>
        <v>192031.28</v>
      </c>
      <c r="E18" s="2"/>
      <c r="F18" s="2"/>
      <c r="J18" s="2"/>
      <c r="K18" s="2"/>
      <c r="L18" s="2"/>
      <c r="M18" s="2"/>
      <c r="N18" s="2"/>
    </row>
    <row r="19" spans="1:14" x14ac:dyDescent="0.25">
      <c r="A19" t="s">
        <v>13</v>
      </c>
      <c r="B19" s="2"/>
      <c r="C19" s="14">
        <f>7843</f>
        <v>7843</v>
      </c>
      <c r="D19" s="2">
        <f t="shared" si="1"/>
        <v>7843</v>
      </c>
      <c r="E19" s="2"/>
      <c r="F19" s="2"/>
      <c r="J19" s="2"/>
      <c r="K19" s="2"/>
      <c r="L19" s="2"/>
      <c r="M19" s="2"/>
      <c r="N19" s="2"/>
    </row>
    <row r="20" spans="1:14" x14ac:dyDescent="0.25">
      <c r="A20" t="s">
        <v>14</v>
      </c>
      <c r="B20" s="2"/>
      <c r="C20" s="14">
        <f>340676*0.5</f>
        <v>170338</v>
      </c>
      <c r="D20" s="2">
        <f t="shared" si="1"/>
        <v>170338</v>
      </c>
      <c r="E20" s="2"/>
      <c r="F20" s="2"/>
      <c r="J20" s="2"/>
      <c r="K20" s="2"/>
      <c r="L20" s="2"/>
      <c r="M20" s="2"/>
      <c r="N20" s="2"/>
    </row>
    <row r="21" spans="1:14" x14ac:dyDescent="0.25">
      <c r="B21" s="2"/>
      <c r="C21" s="2"/>
      <c r="D21" s="2"/>
      <c r="E21" s="2"/>
      <c r="F21" s="6"/>
      <c r="J21" s="2"/>
      <c r="K21" s="2"/>
      <c r="L21" s="2"/>
      <c r="M21" s="2"/>
      <c r="N21" s="2"/>
    </row>
    <row r="22" spans="1:14" x14ac:dyDescent="0.25">
      <c r="A22" t="s">
        <v>10</v>
      </c>
      <c r="B22" s="3">
        <f>SUM(B17:B21)</f>
        <v>329440.78025006002</v>
      </c>
      <c r="C22" s="3">
        <f>SUM(C17:C21)</f>
        <v>544272</v>
      </c>
      <c r="D22" s="3">
        <f>SUM(D17:D21)</f>
        <v>873712.78025006002</v>
      </c>
      <c r="E22" s="3">
        <v>232046</v>
      </c>
      <c r="F22" s="10">
        <v>8.2000000000000007E-3</v>
      </c>
      <c r="G22" s="11">
        <f>ROUND(D22*F22,2)</f>
        <v>7164.44</v>
      </c>
      <c r="H22" s="11">
        <f>ROUND(E22*F22,2)</f>
        <v>1902.78</v>
      </c>
      <c r="I22" s="11">
        <f>+G22-H22</f>
        <v>5261.66</v>
      </c>
      <c r="J22" s="2"/>
      <c r="K22" s="2"/>
      <c r="L22" s="2"/>
      <c r="M22" s="2"/>
      <c r="N22" s="2"/>
    </row>
    <row r="23" spans="1:14" x14ac:dyDescent="0.25">
      <c r="B23" s="2"/>
      <c r="C23" s="2"/>
      <c r="D23" s="2"/>
      <c r="E23" s="2"/>
      <c r="F23" s="6"/>
      <c r="J23" s="2"/>
      <c r="K23" s="2"/>
      <c r="L23" s="2"/>
      <c r="M23" s="2"/>
      <c r="N23" s="2"/>
    </row>
    <row r="24" spans="1:14" x14ac:dyDescent="0.25">
      <c r="A24" t="s">
        <v>14</v>
      </c>
      <c r="B24" s="14">
        <v>93</v>
      </c>
      <c r="C24" s="14">
        <v>31</v>
      </c>
      <c r="D24" s="2">
        <f>SUM(B24:C24)*12</f>
        <v>1488</v>
      </c>
      <c r="E24" s="2"/>
      <c r="F24" s="6"/>
      <c r="J24" s="2"/>
      <c r="K24" s="2"/>
      <c r="L24" s="2"/>
      <c r="M24" s="2"/>
      <c r="N24" s="2"/>
    </row>
    <row r="25" spans="1:14" x14ac:dyDescent="0.25">
      <c r="B25" s="2"/>
      <c r="C25" s="2"/>
      <c r="D25" s="2"/>
      <c r="E25" s="2"/>
      <c r="F25" s="6"/>
      <c r="J25" s="2"/>
      <c r="K25" s="2"/>
      <c r="L25" s="2"/>
      <c r="M25" s="2"/>
      <c r="N25" s="2"/>
    </row>
    <row r="26" spans="1:14" x14ac:dyDescent="0.25">
      <c r="A26" t="s">
        <v>19</v>
      </c>
      <c r="B26" s="3">
        <f>SUM(B24:B25)</f>
        <v>93</v>
      </c>
      <c r="C26" s="3">
        <f t="shared" ref="C26:D26" si="2">SUM(C24:C25)</f>
        <v>31</v>
      </c>
      <c r="D26" s="3">
        <f t="shared" si="2"/>
        <v>1488</v>
      </c>
      <c r="E26" s="3">
        <v>631</v>
      </c>
      <c r="F26" s="10">
        <v>1.5688</v>
      </c>
      <c r="G26" s="11">
        <f>ROUND(D26*F26,2)</f>
        <v>2334.37</v>
      </c>
      <c r="H26" s="11">
        <f>ROUND(E26*F26,2)</f>
        <v>989.91</v>
      </c>
      <c r="I26" s="11">
        <f>+G26-H26</f>
        <v>1344.46</v>
      </c>
      <c r="J26" s="2"/>
      <c r="K26" s="2"/>
      <c r="L26" s="2"/>
      <c r="M26" s="2"/>
      <c r="N26" s="2"/>
    </row>
    <row r="27" spans="1:14" x14ac:dyDescent="0.25">
      <c r="B27" s="2"/>
      <c r="C27" s="2"/>
      <c r="D27" s="2"/>
      <c r="E27" s="2"/>
      <c r="F27" s="6"/>
      <c r="J27" s="2"/>
      <c r="K27" s="2"/>
      <c r="L27" s="2"/>
      <c r="M27" s="2"/>
      <c r="N27" s="2"/>
    </row>
    <row r="28" spans="1:14" ht="15.75" thickBot="1" x14ac:dyDescent="0.3">
      <c r="A28" t="s">
        <v>20</v>
      </c>
      <c r="B28" s="2"/>
      <c r="C28" s="2"/>
      <c r="D28" s="2"/>
      <c r="E28" s="2"/>
      <c r="F28" s="6"/>
      <c r="G28" s="12">
        <f>SUM(G15:G27)</f>
        <v>13204.469999999998</v>
      </c>
      <c r="H28" s="12">
        <f>SUM(H15:H27)</f>
        <v>9735.2800000000007</v>
      </c>
      <c r="I28" s="12">
        <f>SUM(I15:I27)</f>
        <v>3469.1899999999996</v>
      </c>
      <c r="J28" s="2"/>
      <c r="K28" s="2"/>
      <c r="L28" s="2"/>
      <c r="M28" s="2"/>
      <c r="N28" s="2"/>
    </row>
    <row r="29" spans="1:14" ht="15.75" thickTop="1" x14ac:dyDescent="0.25">
      <c r="B29" s="2"/>
      <c r="C29" s="2"/>
      <c r="D29" s="2"/>
      <c r="E29" s="2"/>
      <c r="F29" s="2"/>
      <c r="J29" s="2"/>
      <c r="K29" s="2"/>
      <c r="L29" s="2"/>
      <c r="M29" s="2"/>
      <c r="N29" s="2"/>
    </row>
    <row r="30" spans="1:14" x14ac:dyDescent="0.25">
      <c r="B30" s="2"/>
      <c r="C30" s="2"/>
      <c r="D30" s="2"/>
      <c r="E30" s="2"/>
      <c r="F30" s="2"/>
      <c r="J30" s="2"/>
      <c r="K30" s="2"/>
      <c r="L30" s="2"/>
      <c r="M30" s="2"/>
      <c r="N30" s="2"/>
    </row>
    <row r="31" spans="1:14" x14ac:dyDescent="0.25">
      <c r="B31" s="2"/>
      <c r="C31" s="2"/>
      <c r="D31" s="2"/>
      <c r="E31" s="2"/>
      <c r="F31" s="2"/>
      <c r="J31" s="2"/>
      <c r="K31" s="2"/>
      <c r="L31" s="2"/>
      <c r="M31" s="2"/>
      <c r="N31" s="2"/>
    </row>
    <row r="32" spans="1:14" x14ac:dyDescent="0.25">
      <c r="B32" s="2"/>
      <c r="C32" s="2"/>
      <c r="D32" s="2"/>
      <c r="E32" s="2"/>
      <c r="F32" s="2"/>
      <c r="J32" s="2"/>
      <c r="K32" s="2"/>
      <c r="L32" s="2"/>
      <c r="M32" s="2"/>
      <c r="N32" s="2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E14" sqref="E14"/>
    </sheetView>
  </sheetViews>
  <sheetFormatPr defaultRowHeight="15" x14ac:dyDescent="0.25"/>
  <sheetData>
    <row r="1" spans="1:12" x14ac:dyDescent="0.25">
      <c r="A1" t="s">
        <v>86</v>
      </c>
      <c r="B1">
        <v>2011</v>
      </c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2018</v>
      </c>
      <c r="J1">
        <v>2019</v>
      </c>
      <c r="K1">
        <v>2020</v>
      </c>
    </row>
    <row r="2" spans="1:12" x14ac:dyDescent="0.25">
      <c r="A2" t="s">
        <v>45</v>
      </c>
      <c r="B2" s="27">
        <v>0.5</v>
      </c>
      <c r="C2" s="27">
        <v>0</v>
      </c>
      <c r="D2" s="27">
        <v>0.22776624398907511</v>
      </c>
      <c r="E2" s="27">
        <v>2.9006561918057155E-2</v>
      </c>
      <c r="F2" s="27">
        <v>0</v>
      </c>
      <c r="G2" s="27">
        <v>0</v>
      </c>
      <c r="H2" s="27">
        <v>0</v>
      </c>
      <c r="I2" s="27">
        <v>0</v>
      </c>
      <c r="J2" s="27">
        <v>0</v>
      </c>
      <c r="K2" s="27">
        <v>0</v>
      </c>
      <c r="L2" s="27"/>
    </row>
    <row r="3" spans="1:12" x14ac:dyDescent="0.25">
      <c r="A3" t="s">
        <v>46</v>
      </c>
      <c r="B3" s="27">
        <f t="shared" ref="B3:C3" si="0">1-B2</f>
        <v>0.5</v>
      </c>
      <c r="C3" s="27">
        <f t="shared" si="0"/>
        <v>1</v>
      </c>
      <c r="D3" s="27">
        <f>1-D2</f>
        <v>0.77223375601092492</v>
      </c>
      <c r="E3" s="27">
        <f t="shared" ref="E3:K3" si="1">1-E2</f>
        <v>0.97099343808194283</v>
      </c>
      <c r="F3" s="27">
        <f t="shared" si="1"/>
        <v>1</v>
      </c>
      <c r="G3" s="27">
        <f t="shared" si="1"/>
        <v>1</v>
      </c>
      <c r="H3" s="27">
        <f t="shared" si="1"/>
        <v>1</v>
      </c>
      <c r="I3" s="27">
        <f t="shared" si="1"/>
        <v>1</v>
      </c>
      <c r="J3" s="27">
        <f t="shared" si="1"/>
        <v>1</v>
      </c>
      <c r="K3" s="27">
        <f t="shared" si="1"/>
        <v>1</v>
      </c>
    </row>
    <row r="5" spans="1:12" x14ac:dyDescent="0.25">
      <c r="A5" t="s">
        <v>47</v>
      </c>
      <c r="B5">
        <v>2011</v>
      </c>
      <c r="C5">
        <v>2012</v>
      </c>
      <c r="D5">
        <v>2013</v>
      </c>
      <c r="E5">
        <v>2014</v>
      </c>
      <c r="F5">
        <v>2015</v>
      </c>
      <c r="G5">
        <v>2016</v>
      </c>
      <c r="H5">
        <v>2017</v>
      </c>
      <c r="I5">
        <v>2018</v>
      </c>
      <c r="J5">
        <v>2019</v>
      </c>
      <c r="K5">
        <v>2020</v>
      </c>
    </row>
    <row r="6" spans="1:12" x14ac:dyDescent="0.25">
      <c r="A6" t="s">
        <v>45</v>
      </c>
      <c r="B6" s="27">
        <v>0.5</v>
      </c>
      <c r="C6" s="27">
        <v>0</v>
      </c>
      <c r="D6" s="27">
        <v>0.24975191923153256</v>
      </c>
      <c r="E6" s="27">
        <v>3.7513274590281573E-2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</row>
    <row r="7" spans="1:12" x14ac:dyDescent="0.25">
      <c r="A7" t="s">
        <v>46</v>
      </c>
      <c r="B7" s="27">
        <f t="shared" ref="B7:K7" si="2">1-B6</f>
        <v>0.5</v>
      </c>
      <c r="C7" s="27">
        <f t="shared" si="2"/>
        <v>1</v>
      </c>
      <c r="D7" s="27">
        <f t="shared" si="2"/>
        <v>0.7502480807684675</v>
      </c>
      <c r="E7" s="27">
        <f t="shared" si="2"/>
        <v>0.96248672540971847</v>
      </c>
      <c r="F7" s="27">
        <f t="shared" si="2"/>
        <v>1</v>
      </c>
      <c r="G7" s="27">
        <f t="shared" si="2"/>
        <v>1</v>
      </c>
      <c r="H7" s="27">
        <f t="shared" si="2"/>
        <v>1</v>
      </c>
      <c r="I7" s="27">
        <f t="shared" si="2"/>
        <v>1</v>
      </c>
      <c r="J7" s="27">
        <f t="shared" si="2"/>
        <v>1</v>
      </c>
      <c r="K7" s="27">
        <f t="shared" si="2"/>
        <v>1</v>
      </c>
    </row>
    <row r="10" spans="1:12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/>
  </sheetViews>
  <sheetFormatPr defaultRowHeight="15" x14ac:dyDescent="0.25"/>
  <cols>
    <col min="1" max="1" width="33.5703125" customWidth="1"/>
    <col min="2" max="2" width="12.28515625" customWidth="1"/>
    <col min="3" max="3" width="11.5703125" bestFit="1" customWidth="1"/>
    <col min="4" max="4" width="11.5703125" customWidth="1"/>
    <col min="5" max="5" width="10.5703125" bestFit="1" customWidth="1"/>
    <col min="8" max="9" width="10.5703125" style="1" bestFit="1" customWidth="1"/>
    <col min="10" max="10" width="9.5703125" style="1" bestFit="1" customWidth="1"/>
  </cols>
  <sheetData>
    <row r="1" spans="1:15" x14ac:dyDescent="0.25">
      <c r="A1" t="s">
        <v>26</v>
      </c>
    </row>
    <row r="4" spans="1:15" x14ac:dyDescent="0.25">
      <c r="E4" s="4">
        <v>2013</v>
      </c>
    </row>
    <row r="5" spans="1:15" x14ac:dyDescent="0.25">
      <c r="B5" s="4">
        <v>2013</v>
      </c>
      <c r="C5" s="4">
        <v>2012</v>
      </c>
      <c r="D5" s="4">
        <v>2011</v>
      </c>
      <c r="E5" s="4" t="s">
        <v>15</v>
      </c>
      <c r="F5" t="s">
        <v>22</v>
      </c>
      <c r="G5" t="s">
        <v>16</v>
      </c>
      <c r="H5" s="9" t="s">
        <v>21</v>
      </c>
      <c r="I5" s="9" t="s">
        <v>22</v>
      </c>
    </row>
    <row r="6" spans="1:15" x14ac:dyDescent="0.25">
      <c r="A6" s="5" t="s">
        <v>11</v>
      </c>
      <c r="B6" s="5" t="s">
        <v>5</v>
      </c>
      <c r="C6" s="5" t="s">
        <v>12</v>
      </c>
      <c r="D6" s="5" t="s">
        <v>12</v>
      </c>
      <c r="E6" s="5" t="s">
        <v>18</v>
      </c>
      <c r="F6" s="7" t="s">
        <v>18</v>
      </c>
      <c r="G6" s="7" t="s">
        <v>17</v>
      </c>
      <c r="H6" s="8" t="s">
        <v>23</v>
      </c>
      <c r="I6" s="8" t="s">
        <v>23</v>
      </c>
      <c r="J6" s="8" t="s">
        <v>24</v>
      </c>
    </row>
    <row r="8" spans="1:15" x14ac:dyDescent="0.25">
      <c r="A8" t="s">
        <v>0</v>
      </c>
      <c r="B8" s="14">
        <f>29521</f>
        <v>29521</v>
      </c>
      <c r="C8" s="2">
        <v>40193</v>
      </c>
      <c r="D8" s="2">
        <v>43726</v>
      </c>
      <c r="E8" s="2">
        <f>SUM(B8:D8)</f>
        <v>113440</v>
      </c>
      <c r="F8" s="2"/>
      <c r="G8" s="6"/>
      <c r="K8" s="2"/>
      <c r="L8" s="2"/>
      <c r="M8" s="2"/>
      <c r="N8" s="2"/>
      <c r="O8" s="2"/>
    </row>
    <row r="9" spans="1:15" x14ac:dyDescent="0.25">
      <c r="A9" t="s">
        <v>1</v>
      </c>
      <c r="B9" s="14">
        <f>369</f>
        <v>369</v>
      </c>
      <c r="C9" s="2">
        <v>6693</v>
      </c>
      <c r="D9" s="2">
        <v>1139</v>
      </c>
      <c r="E9" s="2">
        <f t="shared" ref="E9:E13" si="0">SUM(B9:D9)</f>
        <v>8201</v>
      </c>
      <c r="F9" s="2"/>
      <c r="G9" s="6"/>
      <c r="K9" s="2"/>
      <c r="L9" s="2"/>
      <c r="M9" s="2"/>
      <c r="N9" s="2"/>
      <c r="O9" s="2"/>
    </row>
    <row r="10" spans="1:15" x14ac:dyDescent="0.25">
      <c r="A10" t="s">
        <v>2</v>
      </c>
      <c r="B10" s="13">
        <f>47984+(1.6500041294*1000)</f>
        <v>49634.004129399997</v>
      </c>
      <c r="C10" s="2">
        <f>38767+1856</f>
        <v>40623</v>
      </c>
      <c r="D10" s="2">
        <v>61704</v>
      </c>
      <c r="E10" s="2">
        <f t="shared" si="0"/>
        <v>151961.00412940001</v>
      </c>
      <c r="F10" s="2"/>
      <c r="G10" s="6"/>
      <c r="K10" s="2"/>
      <c r="L10" s="2"/>
      <c r="M10" s="2"/>
      <c r="N10" s="2"/>
      <c r="O10" s="2"/>
    </row>
    <row r="11" spans="1:15" x14ac:dyDescent="0.25">
      <c r="A11" t="s">
        <v>3</v>
      </c>
      <c r="B11" s="13">
        <f>(0.026*1000)+(8.633470282455*1000)</f>
        <v>8659.4702824550004</v>
      </c>
      <c r="C11" s="2">
        <v>1566</v>
      </c>
      <c r="D11" s="2">
        <v>20878</v>
      </c>
      <c r="E11" s="2">
        <f t="shared" si="0"/>
        <v>31103.470282455</v>
      </c>
      <c r="F11" s="2"/>
      <c r="G11" s="6"/>
      <c r="K11" s="2"/>
      <c r="L11" s="2"/>
      <c r="M11" s="2"/>
      <c r="N11" s="2"/>
      <c r="O11" s="2"/>
    </row>
    <row r="12" spans="1:15" x14ac:dyDescent="0.25">
      <c r="A12" t="s">
        <v>4</v>
      </c>
      <c r="B12" s="14">
        <f>19244</f>
        <v>19244</v>
      </c>
      <c r="C12" s="2">
        <v>29999</v>
      </c>
      <c r="D12" s="2">
        <v>32918</v>
      </c>
      <c r="E12" s="2">
        <f t="shared" si="0"/>
        <v>82161</v>
      </c>
      <c r="F12" s="2"/>
      <c r="G12" s="6"/>
      <c r="K12" s="2"/>
      <c r="L12" s="2"/>
      <c r="M12" s="2"/>
      <c r="N12" s="2"/>
      <c r="O12" s="2"/>
    </row>
    <row r="13" spans="1:15" x14ac:dyDescent="0.25">
      <c r="A13" t="s">
        <v>6</v>
      </c>
      <c r="B13" s="13">
        <f>33346+(7.997625122*1000)</f>
        <v>41343.625121999998</v>
      </c>
      <c r="C13" s="2">
        <f>10379+883</f>
        <v>11262</v>
      </c>
      <c r="D13" s="2"/>
      <c r="E13" s="2">
        <f t="shared" si="0"/>
        <v>52605.625121999998</v>
      </c>
      <c r="F13" s="2"/>
      <c r="G13" s="6"/>
      <c r="K13" s="2"/>
      <c r="L13" s="2"/>
      <c r="M13" s="2"/>
      <c r="N13" s="2"/>
      <c r="O13" s="2"/>
    </row>
    <row r="14" spans="1:15" x14ac:dyDescent="0.25">
      <c r="B14" s="2"/>
      <c r="C14" s="2"/>
      <c r="D14" s="2"/>
      <c r="E14" s="2"/>
      <c r="F14" s="2"/>
      <c r="G14" s="2"/>
      <c r="K14" s="2"/>
      <c r="L14" s="2"/>
      <c r="M14" s="2"/>
      <c r="N14" s="2"/>
      <c r="O14" s="2"/>
    </row>
    <row r="15" spans="1:15" x14ac:dyDescent="0.25">
      <c r="A15" t="s">
        <v>9</v>
      </c>
      <c r="B15" s="3">
        <f>SUM(B8:B14)</f>
        <v>148771.09953385498</v>
      </c>
      <c r="C15" s="3">
        <f>SUM(C8:C14)</f>
        <v>130336</v>
      </c>
      <c r="D15" s="3">
        <f>SUM(D8:D14)</f>
        <v>160365</v>
      </c>
      <c r="E15" s="3">
        <f>SUM(E8:E14)</f>
        <v>439472.09953385498</v>
      </c>
      <c r="F15" s="3">
        <v>522335</v>
      </c>
      <c r="G15" s="10">
        <v>1.46E-2</v>
      </c>
      <c r="H15" s="11">
        <f>ROUND(E15*G15,2)</f>
        <v>6416.29</v>
      </c>
      <c r="I15" s="11">
        <f>ROUND(F15*G15,2)</f>
        <v>7626.09</v>
      </c>
      <c r="J15" s="11">
        <f>+H15-I15</f>
        <v>-1209.8000000000002</v>
      </c>
      <c r="K15" s="2"/>
      <c r="L15" s="2"/>
      <c r="M15" s="2"/>
      <c r="N15" s="2"/>
      <c r="O15" s="2"/>
    </row>
    <row r="16" spans="1:15" x14ac:dyDescent="0.25">
      <c r="B16" s="2"/>
      <c r="C16" s="2"/>
      <c r="D16" s="2"/>
      <c r="E16" s="2"/>
      <c r="F16" s="2"/>
      <c r="G16" s="2"/>
      <c r="K16" s="2"/>
      <c r="L16" s="2"/>
      <c r="M16" s="2"/>
      <c r="N16" s="2"/>
      <c r="O16" s="2"/>
    </row>
    <row r="17" spans="1:15" x14ac:dyDescent="0.25">
      <c r="A17" t="s">
        <v>7</v>
      </c>
      <c r="B17" s="2">
        <f>11130</f>
        <v>11130</v>
      </c>
      <c r="C17" s="2">
        <f>225555+5137</f>
        <v>230692</v>
      </c>
      <c r="D17" s="2">
        <v>267169</v>
      </c>
      <c r="E17" s="2">
        <f t="shared" ref="E17:E20" si="1">SUM(B17:D17)</f>
        <v>508991</v>
      </c>
      <c r="F17" s="2"/>
      <c r="G17" s="2"/>
      <c r="K17" s="2"/>
      <c r="L17" s="2"/>
      <c r="M17" s="2"/>
      <c r="N17" s="2"/>
      <c r="O17" s="2"/>
    </row>
    <row r="18" spans="1:15" x14ac:dyDescent="0.25">
      <c r="A18" t="s">
        <v>8</v>
      </c>
      <c r="B18" s="2"/>
      <c r="C18" s="2">
        <f>123-144547</f>
        <v>-144424</v>
      </c>
      <c r="D18" s="2">
        <v>238332</v>
      </c>
      <c r="E18" s="2">
        <f t="shared" si="1"/>
        <v>93908</v>
      </c>
      <c r="F18" s="2"/>
      <c r="G18" s="2"/>
      <c r="K18" s="2"/>
      <c r="L18" s="2"/>
      <c r="M18" s="2"/>
      <c r="N18" s="2"/>
      <c r="O18" s="2"/>
    </row>
    <row r="19" spans="1:15" x14ac:dyDescent="0.25">
      <c r="A19" t="s">
        <v>13</v>
      </c>
      <c r="B19" s="2"/>
      <c r="C19" s="2"/>
      <c r="D19" s="2">
        <f>7843</f>
        <v>7843</v>
      </c>
      <c r="E19" s="2">
        <f t="shared" si="1"/>
        <v>7843</v>
      </c>
      <c r="F19" s="2"/>
      <c r="G19" s="2"/>
      <c r="K19" s="2"/>
      <c r="L19" s="2"/>
      <c r="M19" s="2"/>
      <c r="N19" s="2"/>
      <c r="O19" s="2"/>
    </row>
    <row r="20" spans="1:15" x14ac:dyDescent="0.25">
      <c r="A20" t="s">
        <v>14</v>
      </c>
      <c r="B20" s="2">
        <v>29469</v>
      </c>
      <c r="C20" s="2"/>
      <c r="D20" s="2">
        <f>340676*0.5</f>
        <v>170338</v>
      </c>
      <c r="E20" s="2">
        <f t="shared" si="1"/>
        <v>199807</v>
      </c>
      <c r="F20" s="2"/>
      <c r="G20" s="2"/>
      <c r="K20" s="2"/>
      <c r="L20" s="2"/>
      <c r="M20" s="2"/>
      <c r="N20" s="2"/>
      <c r="O20" s="2"/>
    </row>
    <row r="21" spans="1:15" x14ac:dyDescent="0.25">
      <c r="B21" s="2"/>
      <c r="C21" s="2"/>
      <c r="D21" s="2"/>
      <c r="E21" s="2"/>
      <c r="F21" s="2"/>
      <c r="G21" s="6"/>
      <c r="K21" s="2"/>
      <c r="L21" s="2"/>
      <c r="M21" s="2"/>
      <c r="N21" s="2"/>
      <c r="O21" s="2"/>
    </row>
    <row r="22" spans="1:15" x14ac:dyDescent="0.25">
      <c r="A22" t="s">
        <v>10</v>
      </c>
      <c r="B22" s="3">
        <f>SUM(B17:B21)</f>
        <v>40599</v>
      </c>
      <c r="C22" s="3">
        <f>SUM(C17:C21)</f>
        <v>86268</v>
      </c>
      <c r="D22" s="3">
        <f>SUM(D17:D21)</f>
        <v>683682</v>
      </c>
      <c r="E22" s="3">
        <f>SUM(E17:E21)</f>
        <v>810549</v>
      </c>
      <c r="F22" s="3">
        <v>232046</v>
      </c>
      <c r="G22" s="10">
        <v>8.9999999999999993E-3</v>
      </c>
      <c r="H22" s="11">
        <f>ROUND(E22*G22,2)</f>
        <v>7294.94</v>
      </c>
      <c r="I22" s="11">
        <f>ROUND(F22*G22,2)</f>
        <v>2088.41</v>
      </c>
      <c r="J22" s="11">
        <f>+H22-I22</f>
        <v>5206.53</v>
      </c>
      <c r="K22" s="2"/>
      <c r="L22" s="2"/>
      <c r="M22" s="2"/>
      <c r="N22" s="2"/>
      <c r="O22" s="2"/>
    </row>
    <row r="23" spans="1:15" x14ac:dyDescent="0.25">
      <c r="B23" s="2"/>
      <c r="C23" s="2"/>
      <c r="D23" s="2"/>
      <c r="E23" s="2"/>
      <c r="F23" s="2"/>
      <c r="G23" s="6"/>
      <c r="K23" s="2"/>
      <c r="L23" s="2"/>
      <c r="M23" s="2"/>
      <c r="N23" s="2"/>
      <c r="O23" s="2"/>
    </row>
    <row r="24" spans="1:15" x14ac:dyDescent="0.25">
      <c r="A24" t="s">
        <v>14</v>
      </c>
      <c r="B24" s="2">
        <v>15.81</v>
      </c>
      <c r="C24" s="2">
        <v>93</v>
      </c>
      <c r="D24" s="2">
        <v>31</v>
      </c>
      <c r="E24" s="2">
        <f>SUM(B24:D24)*12</f>
        <v>1677.72</v>
      </c>
      <c r="F24" s="2"/>
      <c r="G24" s="6"/>
      <c r="K24" s="2"/>
      <c r="L24" s="2"/>
      <c r="M24" s="2"/>
      <c r="N24" s="2"/>
      <c r="O24" s="2"/>
    </row>
    <row r="25" spans="1:15" x14ac:dyDescent="0.25">
      <c r="A25" t="s">
        <v>27</v>
      </c>
      <c r="B25" s="2"/>
      <c r="C25" s="2"/>
      <c r="D25" s="2"/>
      <c r="E25" s="2">
        <f>SUM(B25:D25)*12</f>
        <v>0</v>
      </c>
      <c r="F25" s="2"/>
      <c r="G25" s="6"/>
      <c r="K25" s="2"/>
      <c r="L25" s="2"/>
      <c r="M25" s="2"/>
      <c r="N25" s="2"/>
      <c r="O25" s="2"/>
    </row>
    <row r="26" spans="1:15" x14ac:dyDescent="0.25">
      <c r="B26" s="2"/>
      <c r="C26" s="2"/>
      <c r="D26" s="2"/>
      <c r="E26" s="2"/>
      <c r="F26" s="2"/>
      <c r="G26" s="6"/>
      <c r="K26" s="2"/>
      <c r="L26" s="2"/>
      <c r="M26" s="2"/>
      <c r="N26" s="2"/>
      <c r="O26" s="2"/>
    </row>
    <row r="27" spans="1:15" x14ac:dyDescent="0.25">
      <c r="A27" t="s">
        <v>19</v>
      </c>
      <c r="B27" s="3">
        <f>SUM(B24:B26)</f>
        <v>15.81</v>
      </c>
      <c r="C27" s="3">
        <f>SUM(C24:C26)</f>
        <v>93</v>
      </c>
      <c r="D27" s="3">
        <f t="shared" ref="D27:E27" si="2">SUM(D24:D26)</f>
        <v>31</v>
      </c>
      <c r="E27" s="3">
        <f t="shared" si="2"/>
        <v>1677.72</v>
      </c>
      <c r="F27" s="3">
        <v>631</v>
      </c>
      <c r="G27" s="10">
        <v>1.8963000000000001</v>
      </c>
      <c r="H27" s="11">
        <f>ROUND(E27*G27,2)</f>
        <v>3181.46</v>
      </c>
      <c r="I27" s="11">
        <f>ROUND(F27*G27,2)</f>
        <v>1196.57</v>
      </c>
      <c r="J27" s="11">
        <f>+H27-I27</f>
        <v>1984.89</v>
      </c>
      <c r="K27" s="2"/>
      <c r="L27" s="2"/>
      <c r="M27" s="2"/>
      <c r="N27" s="2"/>
      <c r="O27" s="2"/>
    </row>
    <row r="28" spans="1:15" x14ac:dyDescent="0.25">
      <c r="B28" s="2"/>
      <c r="C28" s="2"/>
      <c r="D28" s="2"/>
      <c r="E28" s="2"/>
      <c r="F28" s="2"/>
      <c r="G28" s="6"/>
      <c r="K28" s="2"/>
      <c r="L28" s="2"/>
      <c r="M28" s="2"/>
      <c r="N28" s="2"/>
      <c r="O28" s="2"/>
    </row>
    <row r="29" spans="1:15" ht="15.75" thickBot="1" x14ac:dyDescent="0.3">
      <c r="A29" t="s">
        <v>20</v>
      </c>
      <c r="B29" s="2"/>
      <c r="C29" s="2"/>
      <c r="D29" s="2"/>
      <c r="E29" s="2"/>
      <c r="F29" s="2"/>
      <c r="G29" s="6"/>
      <c r="H29" s="12">
        <f>SUM(H15:H28)</f>
        <v>16892.689999999999</v>
      </c>
      <c r="I29" s="12">
        <f>SUM(I15:I28)</f>
        <v>10911.07</v>
      </c>
      <c r="J29" s="12">
        <f>SUM(J15:J28)</f>
        <v>5981.62</v>
      </c>
      <c r="K29" s="2"/>
      <c r="L29" s="2"/>
      <c r="M29" s="2"/>
      <c r="N29" s="2"/>
      <c r="O29" s="2"/>
    </row>
    <row r="30" spans="1:15" ht="15.75" thickTop="1" x14ac:dyDescent="0.25">
      <c r="B30" s="2"/>
      <c r="C30" s="2"/>
      <c r="D30" s="2"/>
      <c r="E30" s="2"/>
      <c r="F30" s="2"/>
      <c r="G30" s="2"/>
      <c r="K30" s="2"/>
      <c r="L30" s="2"/>
      <c r="M30" s="2"/>
      <c r="N30" s="2"/>
      <c r="O30" s="2"/>
    </row>
    <row r="31" spans="1:15" x14ac:dyDescent="0.25">
      <c r="B31" s="2"/>
      <c r="C31" s="2"/>
      <c r="D31" s="2"/>
      <c r="E31" s="2"/>
      <c r="F31" s="2"/>
      <c r="G31" s="2"/>
      <c r="K31" s="2"/>
      <c r="L31" s="2"/>
      <c r="M31" s="2"/>
      <c r="N31" s="2"/>
      <c r="O31" s="2"/>
    </row>
    <row r="32" spans="1:15" x14ac:dyDescent="0.25">
      <c r="B32" s="2"/>
      <c r="C32" s="2"/>
      <c r="D32" s="2"/>
      <c r="E32" s="2"/>
      <c r="F32" s="2"/>
      <c r="G32" s="2"/>
      <c r="K32" s="2"/>
      <c r="L32" s="2"/>
      <c r="M32" s="2"/>
      <c r="N32" s="2"/>
      <c r="O32" s="2"/>
    </row>
    <row r="33" spans="3:15" x14ac:dyDescent="0.25">
      <c r="C33" s="2"/>
      <c r="D33" s="2"/>
      <c r="E33" s="2"/>
      <c r="F33" s="2"/>
      <c r="G33" s="2"/>
      <c r="K33" s="2"/>
      <c r="L33" s="2"/>
      <c r="M33" s="2"/>
      <c r="N33" s="2"/>
      <c r="O3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opLeftCell="A40" workbookViewId="0">
      <selection activeCell="A70" sqref="A70"/>
    </sheetView>
  </sheetViews>
  <sheetFormatPr defaultRowHeight="15" x14ac:dyDescent="0.25"/>
  <cols>
    <col min="1" max="1" width="33.5703125" customWidth="1"/>
    <col min="2" max="14" width="13.7109375" customWidth="1"/>
    <col min="15" max="17" width="13.7109375" style="1" customWidth="1"/>
    <col min="21" max="21" width="10.42578125" bestFit="1" customWidth="1"/>
  </cols>
  <sheetData>
    <row r="1" spans="1:21" x14ac:dyDescent="0.25">
      <c r="A1" t="str">
        <f ca="1">A2&amp;" LRAMVA Calculation"</f>
        <v>2012 LRAMVA Calculation</v>
      </c>
    </row>
    <row r="2" spans="1:21" x14ac:dyDescent="0.25">
      <c r="A2">
        <f ca="1">_xlfn.NUMBERVALUE(MID(CELL("filename",A1),FIND("]",CELL("filename",A1))+1,255))</f>
        <v>2012</v>
      </c>
    </row>
    <row r="4" spans="1:21" x14ac:dyDescent="0.25">
      <c r="L4" s="4">
        <f ca="1">A2</f>
        <v>2012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Current</v>
      </c>
      <c r="D6" s="5" t="str">
        <f t="shared" ca="1" si="1"/>
        <v>N/A</v>
      </c>
      <c r="E6" s="5" t="str">
        <f t="shared" ca="1" si="1"/>
        <v>N/A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67</v>
      </c>
      <c r="B8" s="51">
        <f ca="1">SUMIFS(OFFSET(Persistance!$K:$K,0,$A$2-Persistance!$K$1),Persistance!$B:$B,$A8,Persistance!$D:$D,B$5,Persistance!$A:$A,"Consumer")*1000</f>
        <v>0</v>
      </c>
      <c r="C8" s="51">
        <f ca="1">SUMIFS(OFFSET(Persistance!$K:$K,0,$A$2-Persistance!$K$1),Persistance!$B:$B,$A8,Persistance!$D:$D,C$5,Persistance!$A:$A,"Consumer")*1000</f>
        <v>0</v>
      </c>
      <c r="D8" s="51">
        <f ca="1">SUMIFS(OFFSET(Persistance!$K:$K,0,$A$2-Persistance!$K$1),Persistance!$B:$B,$A8,Persistance!$D:$D,D$5,Persistance!$A:$A,"Consumer")*1000</f>
        <v>0</v>
      </c>
      <c r="E8" s="51">
        <f ca="1">SUMIFS(OFFSET(Persistance!$K:$K,0,$A$2-Persistance!$K$1),Persistance!$B:$B,$A8,Persistance!$D:$D,E$5,Persistance!$A:$A,"Consumer")*1000</f>
        <v>0</v>
      </c>
      <c r="F8" s="51">
        <f ca="1">SUMIFS(OFFSET(Persistance!$K:$K,0,$A$2-Persistance!$K$1),Persistance!$B:$B,$A8,Persistance!$D:$D,F$5,Persistance!$A:$A,"Consumer")*1000</f>
        <v>0</v>
      </c>
      <c r="G8" s="51">
        <f ca="1">SUMIFS(OFFSET(Persistance!$K:$K,0,$A$2-Persistance!$K$1),Persistance!$B:$B,$A8,Persistance!$D:$D,G$5,Persistance!$A:$A,"Consumer")*1000</f>
        <v>0</v>
      </c>
      <c r="H8" s="51">
        <f ca="1">SUMIFS(OFFSET(Persistance!$K:$K,0,$A$2-Persistance!$K$1),Persistance!$B:$B,$A8,Persistance!$D:$D,H$5,Persistance!$A:$A,"Consumer")*1000</f>
        <v>0</v>
      </c>
      <c r="I8" s="51">
        <f ca="1">SUMIFS(OFFSET(Persistance!$K:$K,0,$A$2-Persistance!$K$1),Persistance!$B:$B,$A8,Persistance!$D:$D,I$5,Persistance!$A:$A,"Consumer")*1000</f>
        <v>0</v>
      </c>
      <c r="J8" s="51">
        <f ca="1">SUMIFS(OFFSET(Persistance!$K:$K,0,$A$2-Persistance!$K$1),Persistance!$B:$B,$A8,Persistance!$D:$D,J$5,Persistance!$A:$A,"Consumer")*1000</f>
        <v>0</v>
      </c>
      <c r="K8" s="51">
        <f ca="1">SUMIFS(OFFSET(Persistance!$K:$K,0,$A$2-Persistance!$K$1),Persistance!$B:$B,$A8,Persistance!$D:$D,K$5,Persistance!$A:$A,"Consumer")*1000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73</v>
      </c>
      <c r="B9" s="51">
        <f ca="1">SUMIFS(OFFSET(Persistance!$K:$K,0,$A$2-Persistance!$K$1),Persistance!$B:$B,$A9,Persistance!$D:$D,B$5,Persistance!$A:$A,"Consumer")*1000</f>
        <v>0</v>
      </c>
      <c r="C9" s="51">
        <f ca="1">SUMIFS(OFFSET(Persistance!$K:$K,0,$A$2-Persistance!$K$1),Persistance!$B:$B,$A9,Persistance!$D:$D,C$5,Persistance!$A:$A,"Consumer")*1000</f>
        <v>0</v>
      </c>
      <c r="D9" s="51">
        <f ca="1">SUMIFS(OFFSET(Persistance!$K:$K,0,$A$2-Persistance!$K$1),Persistance!$B:$B,$A9,Persistance!$D:$D,D$5,Persistance!$A:$A,"Consumer")*1000</f>
        <v>0</v>
      </c>
      <c r="E9" s="51">
        <f ca="1">SUMIFS(OFFSET(Persistance!$K:$K,0,$A$2-Persistance!$K$1),Persistance!$B:$B,$A9,Persistance!$D:$D,E$5,Persistance!$A:$A,"Consumer")*1000</f>
        <v>0</v>
      </c>
      <c r="F9" s="51">
        <f ca="1">SUMIFS(OFFSET(Persistance!$K:$K,0,$A$2-Persistance!$K$1),Persistance!$B:$B,$A9,Persistance!$D:$D,F$5,Persistance!$A:$A,"Consumer")*1000</f>
        <v>0</v>
      </c>
      <c r="G9" s="51">
        <f ca="1">SUMIFS(OFFSET(Persistance!$K:$K,0,$A$2-Persistance!$K$1),Persistance!$B:$B,$A9,Persistance!$D:$D,G$5,Persistance!$A:$A,"Consumer")*1000</f>
        <v>0</v>
      </c>
      <c r="H9" s="51">
        <f ca="1">SUMIFS(OFFSET(Persistance!$K:$K,0,$A$2-Persistance!$K$1),Persistance!$B:$B,$A9,Persistance!$D:$D,H$5,Persistance!$A:$A,"Consumer")*1000</f>
        <v>0</v>
      </c>
      <c r="I9" s="51">
        <f ca="1">SUMIFS(OFFSET(Persistance!$K:$K,0,$A$2-Persistance!$K$1),Persistance!$B:$B,$A9,Persistance!$D:$D,I$5,Persistance!$A:$A,"Consumer")*1000</f>
        <v>0</v>
      </c>
      <c r="J9" s="51">
        <f ca="1">SUMIFS(OFFSET(Persistance!$K:$K,0,$A$2-Persistance!$K$1),Persistance!$B:$B,$A9,Persistance!$D:$D,J$5,Persistance!$A:$A,"Consumer")*1000</f>
        <v>0</v>
      </c>
      <c r="K9" s="51">
        <f ca="1">SUMIFS(OFFSET(Persistance!$K:$K,0,$A$2-Persistance!$K$1),Persistance!$B:$B,$A9,Persistance!$D:$D,K$5,Persistance!$A:$A,"Consumer")*1000</f>
        <v>0</v>
      </c>
      <c r="L9" s="34">
        <f t="shared" ref="L9:L28" ca="1" si="2">SUM(B9:K9)</f>
        <v>0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1">
        <f ca="1">SUMIFS(OFFSET(Persistance!$K:$K,0,$A$2-Persistance!$K$1),Persistance!$B:$B,$A10,Persistance!$D:$D,B$5,Persistance!$A:$A,"Consumer")*1000</f>
        <v>1139.0643001535843</v>
      </c>
      <c r="C10" s="51">
        <f ca="1">SUMIFS(OFFSET(Persistance!$K:$K,0,$A$2-Persistance!$K$1),Persistance!$B:$B,$A10,Persistance!$D:$D,C$5,Persistance!$A:$A,"Consumer")*1000</f>
        <v>6693.1949622850116</v>
      </c>
      <c r="D10" s="51">
        <f ca="1">SUMIFS(OFFSET(Persistance!$K:$K,0,$A$2-Persistance!$K$1),Persistance!$B:$B,$A10,Persistance!$D:$D,D$5,Persistance!$A:$A,"Consumer")*1000</f>
        <v>0</v>
      </c>
      <c r="E10" s="51">
        <f ca="1">SUMIFS(OFFSET(Persistance!$K:$K,0,$A$2-Persistance!$K$1),Persistance!$B:$B,$A10,Persistance!$D:$D,E$5,Persistance!$A:$A,"Consumer")*1000</f>
        <v>0</v>
      </c>
      <c r="F10" s="51">
        <f ca="1">SUMIFS(OFFSET(Persistance!$K:$K,0,$A$2-Persistance!$K$1),Persistance!$B:$B,$A10,Persistance!$D:$D,F$5,Persistance!$A:$A,"Consumer")*1000</f>
        <v>0</v>
      </c>
      <c r="G10" s="51">
        <f ca="1">SUMIFS(OFFSET(Persistance!$K:$K,0,$A$2-Persistance!$K$1),Persistance!$B:$B,$A10,Persistance!$D:$D,G$5,Persistance!$A:$A,"Consumer")*1000</f>
        <v>0</v>
      </c>
      <c r="H10" s="51">
        <f ca="1">SUMIFS(OFFSET(Persistance!$K:$K,0,$A$2-Persistance!$K$1),Persistance!$B:$B,$A10,Persistance!$D:$D,H$5,Persistance!$A:$A,"Consumer")*1000</f>
        <v>0</v>
      </c>
      <c r="I10" s="51">
        <f ca="1">SUMIFS(OFFSET(Persistance!$K:$K,0,$A$2-Persistance!$K$1),Persistance!$B:$B,$A10,Persistance!$D:$D,I$5,Persistance!$A:$A,"Consumer")*1000</f>
        <v>0</v>
      </c>
      <c r="J10" s="51">
        <f ca="1">SUMIFS(OFFSET(Persistance!$K:$K,0,$A$2-Persistance!$K$1),Persistance!$B:$B,$A10,Persistance!$D:$D,J$5,Persistance!$A:$A,"Consumer")*1000</f>
        <v>0</v>
      </c>
      <c r="K10" s="51">
        <f ca="1">SUMIFS(OFFSET(Persistance!$K:$K,0,$A$2-Persistance!$K$1),Persistance!$B:$B,$A10,Persistance!$D:$D,K$5,Persistance!$A:$A,"Consumer")*1000</f>
        <v>0</v>
      </c>
      <c r="L10" s="34">
        <f t="shared" ca="1" si="2"/>
        <v>7832.2592624385961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1">
        <f ca="1">SUMIFS(OFFSET(Persistance!$K:$K,0,$A$2-Persistance!$K$1),Persistance!$B:$B,$A11,Persistance!$D:$D,B$5,Persistance!$A:$A,"Consumer")*1000</f>
        <v>43725.781352008045</v>
      </c>
      <c r="C11" s="51">
        <f ca="1">SUMIFS(OFFSET(Persistance!$K:$K,0,$A$2-Persistance!$K$1),Persistance!$B:$B,$A11,Persistance!$D:$D,C$5,Persistance!$A:$A,"Consumer")*1000</f>
        <v>40192.787655372471</v>
      </c>
      <c r="D11" s="51">
        <f ca="1">SUMIFS(OFFSET(Persistance!$K:$K,0,$A$2-Persistance!$K$1),Persistance!$B:$B,$A11,Persistance!$D:$D,D$5,Persistance!$A:$A,"Consumer")*1000</f>
        <v>0</v>
      </c>
      <c r="E11" s="51">
        <f ca="1">SUMIFS(OFFSET(Persistance!$K:$K,0,$A$2-Persistance!$K$1),Persistance!$B:$B,$A11,Persistance!$D:$D,E$5,Persistance!$A:$A,"Consumer")*1000</f>
        <v>0</v>
      </c>
      <c r="F11" s="51">
        <f ca="1">SUMIFS(OFFSET(Persistance!$K:$K,0,$A$2-Persistance!$K$1),Persistance!$B:$B,$A11,Persistance!$D:$D,F$5,Persistance!$A:$A,"Consumer")*1000</f>
        <v>0</v>
      </c>
      <c r="G11" s="51">
        <f ca="1">SUMIFS(OFFSET(Persistance!$K:$K,0,$A$2-Persistance!$K$1),Persistance!$B:$B,$A11,Persistance!$D:$D,G$5,Persistance!$A:$A,"Consumer")*1000</f>
        <v>0</v>
      </c>
      <c r="H11" s="51">
        <f ca="1">SUMIFS(OFFSET(Persistance!$K:$K,0,$A$2-Persistance!$K$1),Persistance!$B:$B,$A11,Persistance!$D:$D,H$5,Persistance!$A:$A,"Consumer")*1000</f>
        <v>0</v>
      </c>
      <c r="I11" s="51">
        <f ca="1">SUMIFS(OFFSET(Persistance!$K:$K,0,$A$2-Persistance!$K$1),Persistance!$B:$B,$A11,Persistance!$D:$D,I$5,Persistance!$A:$A,"Consumer")*1000</f>
        <v>0</v>
      </c>
      <c r="J11" s="51">
        <f ca="1">SUMIFS(OFFSET(Persistance!$K:$K,0,$A$2-Persistance!$K$1),Persistance!$B:$B,$A11,Persistance!$D:$D,J$5,Persistance!$A:$A,"Consumer")*1000</f>
        <v>0</v>
      </c>
      <c r="K11" s="51">
        <f ca="1">SUMIFS(OFFSET(Persistance!$K:$K,0,$A$2-Persistance!$K$1),Persistance!$B:$B,$A11,Persistance!$D:$D,K$5,Persistance!$A:$A,"Consumer")*1000</f>
        <v>0</v>
      </c>
      <c r="L11" s="34">
        <f t="shared" ca="1" si="2"/>
        <v>83918.569007380516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52</v>
      </c>
      <c r="B12" s="51">
        <f ca="1">SUMIFS(OFFSET(Persistance!$K:$K,0,$A$2-Persistance!$K$1),Persistance!$B:$B,$A12,Persistance!$D:$D,B$5,Persistance!$A:$A,"Consumer")*1000</f>
        <v>0</v>
      </c>
      <c r="C12" s="51">
        <f ca="1">SUMIFS(OFFSET(Persistance!$K:$K,0,$A$2-Persistance!$K$1),Persistance!$B:$B,$A12,Persistance!$D:$D,C$5,Persistance!$A:$A,"Consumer")*1000</f>
        <v>0</v>
      </c>
      <c r="D12" s="51">
        <f ca="1">SUMIFS(OFFSET(Persistance!$K:$K,0,$A$2-Persistance!$K$1),Persistance!$B:$B,$A12,Persistance!$D:$D,D$5,Persistance!$A:$A,"Consumer")*1000</f>
        <v>0</v>
      </c>
      <c r="E12" s="51">
        <f ca="1">SUMIFS(OFFSET(Persistance!$K:$K,0,$A$2-Persistance!$K$1),Persistance!$B:$B,$A12,Persistance!$D:$D,E$5,Persistance!$A:$A,"Consumer")*1000</f>
        <v>0</v>
      </c>
      <c r="F12" s="51">
        <f ca="1">SUMIFS(OFFSET(Persistance!$K:$K,0,$A$2-Persistance!$K$1),Persistance!$B:$B,$A12,Persistance!$D:$D,F$5,Persistance!$A:$A,"Consumer")*1000</f>
        <v>0</v>
      </c>
      <c r="G12" s="51">
        <f ca="1">SUMIFS(OFFSET(Persistance!$K:$K,0,$A$2-Persistance!$K$1),Persistance!$B:$B,$A12,Persistance!$D:$D,G$5,Persistance!$A:$A,"Consumer")*1000</f>
        <v>0</v>
      </c>
      <c r="H12" s="51">
        <f ca="1">SUMIFS(OFFSET(Persistance!$K:$K,0,$A$2-Persistance!$K$1),Persistance!$B:$B,$A12,Persistance!$D:$D,H$5,Persistance!$A:$A,"Consumer")*1000</f>
        <v>0</v>
      </c>
      <c r="I12" s="51">
        <f ca="1">SUMIFS(OFFSET(Persistance!$K:$K,0,$A$2-Persistance!$K$1),Persistance!$B:$B,$A12,Persistance!$D:$D,I$5,Persistance!$A:$A,"Consumer")*1000</f>
        <v>0</v>
      </c>
      <c r="J12" s="51">
        <f ca="1">SUMIFS(OFFSET(Persistance!$K:$K,0,$A$2-Persistance!$K$1),Persistance!$B:$B,$A12,Persistance!$D:$D,J$5,Persistance!$A:$A,"Consumer")*1000</f>
        <v>0</v>
      </c>
      <c r="K12" s="51">
        <f ca="1">SUMIFS(OFFSET(Persistance!$K:$K,0,$A$2-Persistance!$K$1),Persistance!$B:$B,$A12,Persistance!$D:$D,K$5,Persistance!$A:$A,"Consumer")*1000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1">
        <f ca="1">SUMIFS(OFFSET(Persistance!$K:$K,0,$A$2-Persistance!$K$1),Persistance!$B:$B,$A13,Persistance!$D:$D,B$5,Persistance!$A:$A,"Consumer")*1000</f>
        <v>35363.411686439838</v>
      </c>
      <c r="C13" s="51">
        <f ca="1">SUMIFS(OFFSET(Persistance!$K:$K,0,$A$2-Persistance!$K$1),Persistance!$B:$B,$A13,Persistance!$D:$D,C$5,Persistance!$A:$A,"Consumer")*1000</f>
        <v>29998.910254468694</v>
      </c>
      <c r="D13" s="51">
        <f ca="1">SUMIFS(OFFSET(Persistance!$K:$K,0,$A$2-Persistance!$K$1),Persistance!$B:$B,$A13,Persistance!$D:$D,D$5,Persistance!$A:$A,"Consumer")*1000</f>
        <v>0</v>
      </c>
      <c r="E13" s="51">
        <f ca="1">SUMIFS(OFFSET(Persistance!$K:$K,0,$A$2-Persistance!$K$1),Persistance!$B:$B,$A13,Persistance!$D:$D,E$5,Persistance!$A:$A,"Consumer")*1000</f>
        <v>0</v>
      </c>
      <c r="F13" s="51">
        <f ca="1">SUMIFS(OFFSET(Persistance!$K:$K,0,$A$2-Persistance!$K$1),Persistance!$B:$B,$A13,Persistance!$D:$D,F$5,Persistance!$A:$A,"Consumer")*1000</f>
        <v>0</v>
      </c>
      <c r="G13" s="51">
        <f ca="1">SUMIFS(OFFSET(Persistance!$K:$K,0,$A$2-Persistance!$K$1),Persistance!$B:$B,$A13,Persistance!$D:$D,G$5,Persistance!$A:$A,"Consumer")*1000</f>
        <v>0</v>
      </c>
      <c r="H13" s="51">
        <f ca="1">SUMIFS(OFFSET(Persistance!$K:$K,0,$A$2-Persistance!$K$1),Persistance!$B:$B,$A13,Persistance!$D:$D,H$5,Persistance!$A:$A,"Consumer")*1000</f>
        <v>0</v>
      </c>
      <c r="I13" s="51">
        <f ca="1">SUMIFS(OFFSET(Persistance!$K:$K,0,$A$2-Persistance!$K$1),Persistance!$B:$B,$A13,Persistance!$D:$D,I$5,Persistance!$A:$A,"Consumer")*1000</f>
        <v>0</v>
      </c>
      <c r="J13" s="51">
        <f ca="1">SUMIFS(OFFSET(Persistance!$K:$K,0,$A$2-Persistance!$K$1),Persistance!$B:$B,$A13,Persistance!$D:$D,J$5,Persistance!$A:$A,"Consumer")*1000</f>
        <v>0</v>
      </c>
      <c r="K13" s="51">
        <f ca="1">SUMIFS(OFFSET(Persistance!$K:$K,0,$A$2-Persistance!$K$1),Persistance!$B:$B,$A13,Persistance!$D:$D,K$5,Persistance!$A:$A,"Consumer")*1000</f>
        <v>0</v>
      </c>
      <c r="L13" s="34">
        <f t="shared" ca="1" si="2"/>
        <v>65362.321940908529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51</v>
      </c>
      <c r="B14" s="51">
        <f ca="1">SUMIFS(OFFSET(Persistance!$K:$K,0,$A$2-Persistance!$K$1),Persistance!$B:$B,$A14,Persistance!$D:$D,B$5,Persistance!$A:$A,"Consumer")*1000</f>
        <v>0</v>
      </c>
      <c r="C14" s="51">
        <f ca="1">SUMIFS(OFFSET(Persistance!$K:$K,0,$A$2-Persistance!$K$1),Persistance!$B:$B,$A14,Persistance!$D:$D,C$5,Persistance!$A:$A,"Consumer")*1000</f>
        <v>0</v>
      </c>
      <c r="D14" s="51">
        <f ca="1">SUMIFS(OFFSET(Persistance!$K:$K,0,$A$2-Persistance!$K$1),Persistance!$B:$B,$A14,Persistance!$D:$D,D$5,Persistance!$A:$A,"Consumer")*1000</f>
        <v>0</v>
      </c>
      <c r="E14" s="51">
        <f ca="1">SUMIFS(OFFSET(Persistance!$K:$K,0,$A$2-Persistance!$K$1),Persistance!$B:$B,$A14,Persistance!$D:$D,E$5,Persistance!$A:$A,"Consumer")*1000</f>
        <v>0</v>
      </c>
      <c r="F14" s="51">
        <f ca="1">SUMIFS(OFFSET(Persistance!$K:$K,0,$A$2-Persistance!$K$1),Persistance!$B:$B,$A14,Persistance!$D:$D,F$5,Persistance!$A:$A,"Consumer")*1000</f>
        <v>0</v>
      </c>
      <c r="G14" s="51">
        <f ca="1">SUMIFS(OFFSET(Persistance!$K:$K,0,$A$2-Persistance!$K$1),Persistance!$B:$B,$A14,Persistance!$D:$D,G$5,Persistance!$A:$A,"Consumer")*1000</f>
        <v>0</v>
      </c>
      <c r="H14" s="51">
        <f ca="1">SUMIFS(OFFSET(Persistance!$K:$K,0,$A$2-Persistance!$K$1),Persistance!$B:$B,$A14,Persistance!$D:$D,H$5,Persistance!$A:$A,"Consumer")*1000</f>
        <v>0</v>
      </c>
      <c r="I14" s="51">
        <f ca="1">SUMIFS(OFFSET(Persistance!$K:$K,0,$A$2-Persistance!$K$1),Persistance!$B:$B,$A14,Persistance!$D:$D,I$5,Persistance!$A:$A,"Consumer")*1000</f>
        <v>0</v>
      </c>
      <c r="J14" s="51">
        <f ca="1">SUMIFS(OFFSET(Persistance!$K:$K,0,$A$2-Persistance!$K$1),Persistance!$B:$B,$A14,Persistance!$D:$D,J$5,Persistance!$A:$A,"Consumer")*1000</f>
        <v>0</v>
      </c>
      <c r="K14" s="51">
        <f ca="1">SUMIFS(OFFSET(Persistance!$K:$K,0,$A$2-Persistance!$K$1),Persistance!$B:$B,$A14,Persistance!$D:$D,K$5,Persistance!$A:$A,"Consumer")*1000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74</v>
      </c>
      <c r="B15" s="51">
        <f ca="1">SUMIFS(OFFSET(Persistance!$K:$K,0,$A$2-Persistance!$K$1),Persistance!$B:$B,$A15,Persistance!$D:$D,B$5,Persistance!$A:$A,"Consumer")*1000</f>
        <v>0</v>
      </c>
      <c r="C15" s="51">
        <f ca="1">SUMIFS(OFFSET(Persistance!$K:$K,0,$A$2-Persistance!$K$1),Persistance!$B:$B,$A15,Persistance!$D:$D,C$5,Persistance!$A:$A,"Consumer")*1000</f>
        <v>0</v>
      </c>
      <c r="D15" s="51">
        <f ca="1">SUMIFS(OFFSET(Persistance!$K:$K,0,$A$2-Persistance!$K$1),Persistance!$B:$B,$A15,Persistance!$D:$D,D$5,Persistance!$A:$A,"Consumer")*1000</f>
        <v>0</v>
      </c>
      <c r="E15" s="51">
        <f ca="1">SUMIFS(OFFSET(Persistance!$K:$K,0,$A$2-Persistance!$K$1),Persistance!$B:$B,$A15,Persistance!$D:$D,E$5,Persistance!$A:$A,"Consumer")*1000</f>
        <v>0</v>
      </c>
      <c r="F15" s="51">
        <f ca="1">SUMIFS(OFFSET(Persistance!$K:$K,0,$A$2-Persistance!$K$1),Persistance!$B:$B,$A15,Persistance!$D:$D,F$5,Persistance!$A:$A,"Consumer")*1000</f>
        <v>0</v>
      </c>
      <c r="G15" s="51">
        <f ca="1">SUMIFS(OFFSET(Persistance!$K:$K,0,$A$2-Persistance!$K$1),Persistance!$B:$B,$A15,Persistance!$D:$D,G$5,Persistance!$A:$A,"Consumer")*1000</f>
        <v>0</v>
      </c>
      <c r="H15" s="51">
        <f ca="1">SUMIFS(OFFSET(Persistance!$K:$K,0,$A$2-Persistance!$K$1),Persistance!$B:$B,$A15,Persistance!$D:$D,H$5,Persistance!$A:$A,"Consumer")*1000</f>
        <v>0</v>
      </c>
      <c r="I15" s="51">
        <f ca="1">SUMIFS(OFFSET(Persistance!$K:$K,0,$A$2-Persistance!$K$1),Persistance!$B:$B,$A15,Persistance!$D:$D,I$5,Persistance!$A:$A,"Consumer")*1000</f>
        <v>0</v>
      </c>
      <c r="J15" s="51">
        <f ca="1">SUMIFS(OFFSET(Persistance!$K:$K,0,$A$2-Persistance!$K$1),Persistance!$B:$B,$A15,Persistance!$D:$D,J$5,Persistance!$A:$A,"Consumer")*1000</f>
        <v>0</v>
      </c>
      <c r="K15" s="51">
        <f ca="1">SUMIFS(OFFSET(Persistance!$K:$K,0,$A$2-Persistance!$K$1),Persistance!$B:$B,$A15,Persistance!$D:$D,K$5,Persistance!$A:$A,"Consumer")*1000</f>
        <v>0</v>
      </c>
      <c r="L15" s="34">
        <f t="shared" ca="1" si="2"/>
        <v>0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1">
        <f ca="1">SUMIFS(OFFSET(Persistance!$K:$K,0,$A$2-Persistance!$K$1),Persistance!$B:$B,$A16,Persistance!$D:$D,B$5,Persistance!$A:$A,"Consumer")*1000</f>
        <v>21187.08171814321</v>
      </c>
      <c r="C16" s="51">
        <f ca="1">SUMIFS(OFFSET(Persistance!$K:$K,0,$A$2-Persistance!$K$1),Persistance!$B:$B,$A16,Persistance!$D:$D,C$5,Persistance!$A:$A,"Consumer")*1000</f>
        <v>1566.1654124212519</v>
      </c>
      <c r="D16" s="51">
        <f ca="1">SUMIFS(OFFSET(Persistance!$K:$K,0,$A$2-Persistance!$K$1),Persistance!$B:$B,$A16,Persistance!$D:$D,D$5,Persistance!$A:$A,"Consumer")*1000</f>
        <v>0</v>
      </c>
      <c r="E16" s="51">
        <f ca="1">SUMIFS(OFFSET(Persistance!$K:$K,0,$A$2-Persistance!$K$1),Persistance!$B:$B,$A16,Persistance!$D:$D,E$5,Persistance!$A:$A,"Consumer")*1000</f>
        <v>0</v>
      </c>
      <c r="F16" s="51">
        <f ca="1">SUMIFS(OFFSET(Persistance!$K:$K,0,$A$2-Persistance!$K$1),Persistance!$B:$B,$A16,Persistance!$D:$D,F$5,Persistance!$A:$A,"Consumer")*1000</f>
        <v>0</v>
      </c>
      <c r="G16" s="51">
        <f ca="1">SUMIFS(OFFSET(Persistance!$K:$K,0,$A$2-Persistance!$K$1),Persistance!$B:$B,$A16,Persistance!$D:$D,G$5,Persistance!$A:$A,"Consumer")*1000</f>
        <v>0</v>
      </c>
      <c r="H16" s="51">
        <f ca="1">SUMIFS(OFFSET(Persistance!$K:$K,0,$A$2-Persistance!$K$1),Persistance!$B:$B,$A16,Persistance!$D:$D,H$5,Persistance!$A:$A,"Consumer")*1000</f>
        <v>0</v>
      </c>
      <c r="I16" s="51">
        <f ca="1">SUMIFS(OFFSET(Persistance!$K:$K,0,$A$2-Persistance!$K$1),Persistance!$B:$B,$A16,Persistance!$D:$D,I$5,Persistance!$A:$A,"Consumer")*1000</f>
        <v>0</v>
      </c>
      <c r="J16" s="51">
        <f ca="1">SUMIFS(OFFSET(Persistance!$K:$K,0,$A$2-Persistance!$K$1),Persistance!$B:$B,$A16,Persistance!$D:$D,J$5,Persistance!$A:$A,"Consumer")*1000</f>
        <v>0</v>
      </c>
      <c r="K16" s="51">
        <f ca="1">SUMIFS(OFFSET(Persistance!$K:$K,0,$A$2-Persistance!$K$1),Persistance!$B:$B,$A16,Persistance!$D:$D,K$5,Persistance!$A:$A,"Consumer")*1000</f>
        <v>0</v>
      </c>
      <c r="L16" s="34">
        <f t="shared" ca="1" si="2"/>
        <v>22753.247130564461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50</v>
      </c>
      <c r="B17" s="51">
        <f ca="1">SUMIFS(OFFSET(Persistance!$K:$K,0,$A$2-Persistance!$K$1),Persistance!$B:$B,$A17,Persistance!$D:$D,B$5,Persistance!$A:$A,"Consumer")*1000</f>
        <v>0</v>
      </c>
      <c r="C17" s="51">
        <f ca="1">SUMIFS(OFFSET(Persistance!$K:$K,0,$A$2-Persistance!$K$1),Persistance!$B:$B,$A17,Persistance!$D:$D,C$5,Persistance!$A:$A,"Consumer")*1000</f>
        <v>0</v>
      </c>
      <c r="D17" s="51">
        <f ca="1">SUMIFS(OFFSET(Persistance!$K:$K,0,$A$2-Persistance!$K$1),Persistance!$B:$B,$A17,Persistance!$D:$D,D$5,Persistance!$A:$A,"Consumer")*1000</f>
        <v>0</v>
      </c>
      <c r="E17" s="51">
        <f ca="1">SUMIFS(OFFSET(Persistance!$K:$K,0,$A$2-Persistance!$K$1),Persistance!$B:$B,$A17,Persistance!$D:$D,E$5,Persistance!$A:$A,"Consumer")*1000</f>
        <v>0</v>
      </c>
      <c r="F17" s="51">
        <f ca="1">SUMIFS(OFFSET(Persistance!$K:$K,0,$A$2-Persistance!$K$1),Persistance!$B:$B,$A17,Persistance!$D:$D,F$5,Persistance!$A:$A,"Consumer")*1000</f>
        <v>0</v>
      </c>
      <c r="G17" s="51">
        <f ca="1">SUMIFS(OFFSET(Persistance!$K:$K,0,$A$2-Persistance!$K$1),Persistance!$B:$B,$A17,Persistance!$D:$D,G$5,Persistance!$A:$A,"Consumer")*1000</f>
        <v>0</v>
      </c>
      <c r="H17" s="51">
        <f ca="1">SUMIFS(OFFSET(Persistance!$K:$K,0,$A$2-Persistance!$K$1),Persistance!$B:$B,$A17,Persistance!$D:$D,H$5,Persistance!$A:$A,"Consumer")*1000</f>
        <v>0</v>
      </c>
      <c r="I17" s="51">
        <f ca="1">SUMIFS(OFFSET(Persistance!$K:$K,0,$A$2-Persistance!$K$1),Persistance!$B:$B,$A17,Persistance!$D:$D,I$5,Persistance!$A:$A,"Consumer")*1000</f>
        <v>0</v>
      </c>
      <c r="J17" s="51">
        <f ca="1">SUMIFS(OFFSET(Persistance!$K:$K,0,$A$2-Persistance!$K$1),Persistance!$B:$B,$A17,Persistance!$D:$D,J$5,Persistance!$A:$A,"Consumer")*1000</f>
        <v>0</v>
      </c>
      <c r="K17" s="51">
        <f ca="1">SUMIFS(OFFSET(Persistance!$K:$K,0,$A$2-Persistance!$K$1),Persistance!$B:$B,$A17,Persistance!$D:$D,K$5,Persistance!$A:$A,"Consumer")*1000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1">
        <f ca="1">SUMIFS(OFFSET(Persistance!$K:$K,0,$A$2-Persistance!$K$1),Persistance!$B:$B,$A18,Persistance!$D:$D,B$5,Persistance!$A:$A,"Consumer")*1000</f>
        <v>0</v>
      </c>
      <c r="C18" s="51">
        <f ca="1">SUMIFS(OFFSET(Persistance!$K:$K,0,$A$2-Persistance!$K$1),Persistance!$B:$B,$A18,Persistance!$D:$D,C$5,Persistance!$A:$A,"Consumer")*1000</f>
        <v>11262.371139526365</v>
      </c>
      <c r="D18" s="51">
        <f ca="1">SUMIFS(OFFSET(Persistance!$K:$K,0,$A$2-Persistance!$K$1),Persistance!$B:$B,$A18,Persistance!$D:$D,D$5,Persistance!$A:$A,"Consumer")*1000</f>
        <v>0</v>
      </c>
      <c r="E18" s="51">
        <f ca="1">SUMIFS(OFFSET(Persistance!$K:$K,0,$A$2-Persistance!$K$1),Persistance!$B:$B,$A18,Persistance!$D:$D,E$5,Persistance!$A:$A,"Consumer")*1000</f>
        <v>0</v>
      </c>
      <c r="F18" s="51">
        <f ca="1">SUMIFS(OFFSET(Persistance!$K:$K,0,$A$2-Persistance!$K$1),Persistance!$B:$B,$A18,Persistance!$D:$D,F$5,Persistance!$A:$A,"Consumer")*1000</f>
        <v>0</v>
      </c>
      <c r="G18" s="51">
        <f ca="1">SUMIFS(OFFSET(Persistance!$K:$K,0,$A$2-Persistance!$K$1),Persistance!$B:$B,$A18,Persistance!$D:$D,G$5,Persistance!$A:$A,"Consumer")*1000</f>
        <v>0</v>
      </c>
      <c r="H18" s="51">
        <f ca="1">SUMIFS(OFFSET(Persistance!$K:$K,0,$A$2-Persistance!$K$1),Persistance!$B:$B,$A18,Persistance!$D:$D,H$5,Persistance!$A:$A,"Consumer")*1000</f>
        <v>0</v>
      </c>
      <c r="I18" s="51">
        <f ca="1">SUMIFS(OFFSET(Persistance!$K:$K,0,$A$2-Persistance!$K$1),Persistance!$B:$B,$A18,Persistance!$D:$D,I$5,Persistance!$A:$A,"Consumer")*1000</f>
        <v>0</v>
      </c>
      <c r="J18" s="51">
        <f ca="1">SUMIFS(OFFSET(Persistance!$K:$K,0,$A$2-Persistance!$K$1),Persistance!$B:$B,$A18,Persistance!$D:$D,J$5,Persistance!$A:$A,"Consumer")*1000</f>
        <v>0</v>
      </c>
      <c r="K18" s="51">
        <f ca="1">SUMIFS(OFFSET(Persistance!$K:$K,0,$A$2-Persistance!$K$1),Persistance!$B:$B,$A18,Persistance!$D:$D,K$5,Persistance!$A:$A,"Consumer")*1000</f>
        <v>0</v>
      </c>
      <c r="L18" s="34">
        <f t="shared" ca="1" si="2"/>
        <v>11262.371139526365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75</v>
      </c>
      <c r="B19" s="51">
        <f ca="1">SUMIFS(OFFSET(Persistance!$K:$K,0,$A$2-Persistance!$K$1),Persistance!$B:$B,$A19,Persistance!$D:$D,B$5,Persistance!$A:$A,"Consumer")*1000</f>
        <v>0</v>
      </c>
      <c r="C19" s="51">
        <f ca="1">SUMIFS(OFFSET(Persistance!$K:$K,0,$A$2-Persistance!$K$1),Persistance!$B:$B,$A19,Persistance!$D:$D,C$5,Persistance!$A:$A,"Consumer")*1000</f>
        <v>1856.2897101191882</v>
      </c>
      <c r="D19" s="51">
        <f ca="1">SUMIFS(OFFSET(Persistance!$K:$K,0,$A$2-Persistance!$K$1),Persistance!$B:$B,$A19,Persistance!$D:$D,D$5,Persistance!$A:$A,"Consumer")*1000</f>
        <v>0</v>
      </c>
      <c r="E19" s="51">
        <f ca="1">SUMIFS(OFFSET(Persistance!$K:$K,0,$A$2-Persistance!$K$1),Persistance!$B:$B,$A19,Persistance!$D:$D,E$5,Persistance!$A:$A,"Consumer")*1000</f>
        <v>0</v>
      </c>
      <c r="F19" s="51">
        <f ca="1">SUMIFS(OFFSET(Persistance!$K:$K,0,$A$2-Persistance!$K$1),Persistance!$B:$B,$A19,Persistance!$D:$D,F$5,Persistance!$A:$A,"Consumer")*1000</f>
        <v>0</v>
      </c>
      <c r="G19" s="51">
        <f ca="1">SUMIFS(OFFSET(Persistance!$K:$K,0,$A$2-Persistance!$K$1),Persistance!$B:$B,$A19,Persistance!$D:$D,G$5,Persistance!$A:$A,"Consumer")*1000</f>
        <v>0</v>
      </c>
      <c r="H19" s="51">
        <f ca="1">SUMIFS(OFFSET(Persistance!$K:$K,0,$A$2-Persistance!$K$1),Persistance!$B:$B,$A19,Persistance!$D:$D,H$5,Persistance!$A:$A,"Consumer")*1000</f>
        <v>0</v>
      </c>
      <c r="I19" s="51">
        <f ca="1">SUMIFS(OFFSET(Persistance!$K:$K,0,$A$2-Persistance!$K$1),Persistance!$B:$B,$A19,Persistance!$D:$D,I$5,Persistance!$A:$A,"Consumer")*1000</f>
        <v>0</v>
      </c>
      <c r="J19" s="51">
        <f ca="1">SUMIFS(OFFSET(Persistance!$K:$K,0,$A$2-Persistance!$K$1),Persistance!$B:$B,$A19,Persistance!$D:$D,J$5,Persistance!$A:$A,"Consumer")*1000</f>
        <v>0</v>
      </c>
      <c r="K19" s="51">
        <f ca="1">SUMIFS(OFFSET(Persistance!$K:$K,0,$A$2-Persistance!$K$1),Persistance!$B:$B,$A19,Persistance!$D:$D,K$5,Persistance!$A:$A,"Consumer")*1000</f>
        <v>0</v>
      </c>
      <c r="L19" s="34">
        <f t="shared" ca="1" si="2"/>
        <v>1856.2897101191882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1">
        <f ca="1">SUMIFS(OFFSET(Persistance!$K:$K,0,$A$2-Persistance!$K$1),Persistance!$B:$B,$A20,Persistance!$D:$D,B$5,Persistance!$A:$A,"Consumer")*1000</f>
        <v>51132.664969399761</v>
      </c>
      <c r="C20" s="51">
        <f ca="1">SUMIFS(OFFSET(Persistance!$K:$K,0,$A$2-Persistance!$K$1),Persistance!$B:$B,$A20,Persistance!$D:$D,C$5,Persistance!$A:$A,"Consumer")*1000</f>
        <v>38766.567338592635</v>
      </c>
      <c r="D20" s="51">
        <f ca="1">SUMIFS(OFFSET(Persistance!$K:$K,0,$A$2-Persistance!$K$1),Persistance!$B:$B,$A20,Persistance!$D:$D,D$5,Persistance!$A:$A,"Consumer")*1000</f>
        <v>0</v>
      </c>
      <c r="E20" s="51">
        <f ca="1">SUMIFS(OFFSET(Persistance!$K:$K,0,$A$2-Persistance!$K$1),Persistance!$B:$B,$A20,Persistance!$D:$D,E$5,Persistance!$A:$A,"Consumer")*1000</f>
        <v>0</v>
      </c>
      <c r="F20" s="51">
        <f ca="1">SUMIFS(OFFSET(Persistance!$K:$K,0,$A$2-Persistance!$K$1),Persistance!$B:$B,$A20,Persistance!$D:$D,F$5,Persistance!$A:$A,"Consumer")*1000</f>
        <v>0</v>
      </c>
      <c r="G20" s="51">
        <f ca="1">SUMIFS(OFFSET(Persistance!$K:$K,0,$A$2-Persistance!$K$1),Persistance!$B:$B,$A20,Persistance!$D:$D,G$5,Persistance!$A:$A,"Consumer")*1000</f>
        <v>0</v>
      </c>
      <c r="H20" s="51">
        <f ca="1">SUMIFS(OFFSET(Persistance!$K:$K,0,$A$2-Persistance!$K$1),Persistance!$B:$B,$A20,Persistance!$D:$D,H$5,Persistance!$A:$A,"Consumer")*1000</f>
        <v>0</v>
      </c>
      <c r="I20" s="51">
        <f ca="1">SUMIFS(OFFSET(Persistance!$K:$K,0,$A$2-Persistance!$K$1),Persistance!$B:$B,$A20,Persistance!$D:$D,I$5,Persistance!$A:$A,"Consumer")*1000</f>
        <v>0</v>
      </c>
      <c r="J20" s="51">
        <f ca="1">SUMIFS(OFFSET(Persistance!$K:$K,0,$A$2-Persistance!$K$1),Persistance!$B:$B,$A20,Persistance!$D:$D,J$5,Persistance!$A:$A,"Consumer")*1000</f>
        <v>0</v>
      </c>
      <c r="K20" s="51">
        <f ca="1">SUMIFS(OFFSET(Persistance!$K:$K,0,$A$2-Persistance!$K$1),Persistance!$B:$B,$A20,Persistance!$D:$D,K$5,Persistance!$A:$A,"Consumer")*1000</f>
        <v>0</v>
      </c>
      <c r="L20" s="34">
        <f t="shared" ca="1" si="2"/>
        <v>89899.232307992395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53</v>
      </c>
      <c r="B21" s="51">
        <f ca="1">SUMIFS(OFFSET(Persistance!$K:$K,0,$A$2-Persistance!$K$1),Persistance!$B:$B,$A21,Persistance!$D:$D,B$5,Persistance!$A:$A,"Consumer")*1000</f>
        <v>0</v>
      </c>
      <c r="C21" s="51">
        <f ca="1">SUMIFS(OFFSET(Persistance!$K:$K,0,$A$2-Persistance!$K$1),Persistance!$B:$B,$A21,Persistance!$D:$D,C$5,Persistance!$A:$A,"Consumer")*1000</f>
        <v>0</v>
      </c>
      <c r="D21" s="51">
        <f ca="1">SUMIFS(OFFSET(Persistance!$K:$K,0,$A$2-Persistance!$K$1),Persistance!$B:$B,$A21,Persistance!$D:$D,D$5,Persistance!$A:$A,"Consumer")*1000</f>
        <v>0</v>
      </c>
      <c r="E21" s="51">
        <f ca="1">SUMIFS(OFFSET(Persistance!$K:$K,0,$A$2-Persistance!$K$1),Persistance!$B:$B,$A21,Persistance!$D:$D,E$5,Persistance!$A:$A,"Consumer")*1000</f>
        <v>0</v>
      </c>
      <c r="F21" s="51">
        <f ca="1">SUMIFS(OFFSET(Persistance!$K:$K,0,$A$2-Persistance!$K$1),Persistance!$B:$B,$A21,Persistance!$D:$D,F$5,Persistance!$A:$A,"Consumer")*1000</f>
        <v>0</v>
      </c>
      <c r="G21" s="51">
        <f ca="1">SUMIFS(OFFSET(Persistance!$K:$K,0,$A$2-Persistance!$K$1),Persistance!$B:$B,$A21,Persistance!$D:$D,G$5,Persistance!$A:$A,"Consumer")*1000</f>
        <v>0</v>
      </c>
      <c r="H21" s="51">
        <f ca="1">SUMIFS(OFFSET(Persistance!$K:$K,0,$A$2-Persistance!$K$1),Persistance!$B:$B,$A21,Persistance!$D:$D,H$5,Persistance!$A:$A,"Consumer")*1000</f>
        <v>0</v>
      </c>
      <c r="I21" s="51">
        <f ca="1">SUMIFS(OFFSET(Persistance!$K:$K,0,$A$2-Persistance!$K$1),Persistance!$B:$B,$A21,Persistance!$D:$D,I$5,Persistance!$A:$A,"Consumer")*1000</f>
        <v>0</v>
      </c>
      <c r="J21" s="51">
        <f ca="1">SUMIFS(OFFSET(Persistance!$K:$K,0,$A$2-Persistance!$K$1),Persistance!$B:$B,$A21,Persistance!$D:$D,J$5,Persistance!$A:$A,"Consumer")*1000</f>
        <v>0</v>
      </c>
      <c r="K21" s="51">
        <f ca="1">SUMIFS(OFFSET(Persistance!$K:$K,0,$A$2-Persistance!$K$1),Persistance!$B:$B,$A21,Persistance!$D:$D,K$5,Persistance!$A:$A,"Consumer")*1000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62</v>
      </c>
      <c r="B22" s="51">
        <f ca="1">SUMIFS(OFFSET(Persistance!$K:$K,0,$A$2-Persistance!$K$1),Persistance!$B:$B,$A22,Persistance!$D:$D,B$5,Persistance!$A:$A,"Consumer")*1000</f>
        <v>0</v>
      </c>
      <c r="C22" s="51">
        <f ca="1">SUMIFS(OFFSET(Persistance!$K:$K,0,$A$2-Persistance!$K$1),Persistance!$B:$B,$A22,Persistance!$D:$D,C$5,Persistance!$A:$A,"Consumer")*1000</f>
        <v>0</v>
      </c>
      <c r="D22" s="51">
        <f ca="1">SUMIFS(OFFSET(Persistance!$K:$K,0,$A$2-Persistance!$K$1),Persistance!$B:$B,$A22,Persistance!$D:$D,D$5,Persistance!$A:$A,"Consumer")*1000</f>
        <v>0</v>
      </c>
      <c r="E22" s="51">
        <f ca="1">SUMIFS(OFFSET(Persistance!$K:$K,0,$A$2-Persistance!$K$1),Persistance!$B:$B,$A22,Persistance!$D:$D,E$5,Persistance!$A:$A,"Consumer")*1000</f>
        <v>0</v>
      </c>
      <c r="F22" s="51">
        <f ca="1">SUMIFS(OFFSET(Persistance!$K:$K,0,$A$2-Persistance!$K$1),Persistance!$B:$B,$A22,Persistance!$D:$D,F$5,Persistance!$A:$A,"Consumer")*1000</f>
        <v>0</v>
      </c>
      <c r="G22" s="51">
        <f ca="1">SUMIFS(OFFSET(Persistance!$K:$K,0,$A$2-Persistance!$K$1),Persistance!$B:$B,$A22,Persistance!$D:$D,G$5,Persistance!$A:$A,"Consumer")*1000</f>
        <v>0</v>
      </c>
      <c r="H22" s="51">
        <f ca="1">SUMIFS(OFFSET(Persistance!$K:$K,0,$A$2-Persistance!$K$1),Persistance!$B:$B,$A22,Persistance!$D:$D,H$5,Persistance!$A:$A,"Consumer")*1000</f>
        <v>0</v>
      </c>
      <c r="I22" s="51">
        <f ca="1">SUMIFS(OFFSET(Persistance!$K:$K,0,$A$2-Persistance!$K$1),Persistance!$B:$B,$A22,Persistance!$D:$D,I$5,Persistance!$A:$A,"Consumer")*1000</f>
        <v>0</v>
      </c>
      <c r="J22" s="51">
        <f ca="1">SUMIFS(OFFSET(Persistance!$K:$K,0,$A$2-Persistance!$K$1),Persistance!$B:$B,$A22,Persistance!$D:$D,J$5,Persistance!$A:$A,"Consumer")*1000</f>
        <v>0</v>
      </c>
      <c r="K22" s="51">
        <f ca="1">SUMIFS(OFFSET(Persistance!$K:$K,0,$A$2-Persistance!$K$1),Persistance!$B:$B,$A22,Persistance!$D:$D,K$5,Persistance!$A:$A,"Consumer")*1000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70</v>
      </c>
      <c r="B23" s="51">
        <f ca="1">SUMIFS(OFFSET(Persistance!$K:$K,0,$A$2-Persistance!$K$1),Persistance!$B:$B,$A23,Persistance!$D:$D,B$5,Persistance!$A:$A,"Consumer")*1000</f>
        <v>0</v>
      </c>
      <c r="C23" s="51">
        <f ca="1">SUMIFS(OFFSET(Persistance!$K:$K,0,$A$2-Persistance!$K$1),Persistance!$B:$B,$A23,Persistance!$D:$D,C$5,Persistance!$A:$A,"Consumer")*1000</f>
        <v>0</v>
      </c>
      <c r="D23" s="51">
        <f ca="1">SUMIFS(OFFSET(Persistance!$K:$K,0,$A$2-Persistance!$K$1),Persistance!$B:$B,$A23,Persistance!$D:$D,D$5,Persistance!$A:$A,"Consumer")*1000</f>
        <v>0</v>
      </c>
      <c r="E23" s="51">
        <f ca="1">SUMIFS(OFFSET(Persistance!$K:$K,0,$A$2-Persistance!$K$1),Persistance!$B:$B,$A23,Persistance!$D:$D,E$5,Persistance!$A:$A,"Consumer")*1000</f>
        <v>0</v>
      </c>
      <c r="F23" s="51">
        <f ca="1">SUMIFS(OFFSET(Persistance!$K:$K,0,$A$2-Persistance!$K$1),Persistance!$B:$B,$A23,Persistance!$D:$D,F$5,Persistance!$A:$A,"Consumer")*1000</f>
        <v>0</v>
      </c>
      <c r="G23" s="51">
        <f ca="1">SUMIFS(OFFSET(Persistance!$K:$K,0,$A$2-Persistance!$K$1),Persistance!$B:$B,$A23,Persistance!$D:$D,G$5,Persistance!$A:$A,"Consumer")*1000</f>
        <v>0</v>
      </c>
      <c r="H23" s="51">
        <f ca="1">SUMIFS(OFFSET(Persistance!$K:$K,0,$A$2-Persistance!$K$1),Persistance!$B:$B,$A23,Persistance!$D:$D,H$5,Persistance!$A:$A,"Consumer")*1000</f>
        <v>0</v>
      </c>
      <c r="I23" s="51">
        <f ca="1">SUMIFS(OFFSET(Persistance!$K:$K,0,$A$2-Persistance!$K$1),Persistance!$B:$B,$A23,Persistance!$D:$D,I$5,Persistance!$A:$A,"Consumer")*1000</f>
        <v>0</v>
      </c>
      <c r="J23" s="51">
        <f ca="1">SUMIFS(OFFSET(Persistance!$K:$K,0,$A$2-Persistance!$K$1),Persistance!$B:$B,$A23,Persistance!$D:$D,J$5,Persistance!$A:$A,"Consumer")*1000</f>
        <v>0</v>
      </c>
      <c r="K23" s="51">
        <f ca="1">SUMIFS(OFFSET(Persistance!$K:$K,0,$A$2-Persistance!$K$1),Persistance!$B:$B,$A23,Persistance!$D:$D,K$5,Persistance!$A:$A,"Consumer")*1000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71</v>
      </c>
      <c r="B24" s="51">
        <f ca="1">SUMIFS(OFFSET(Persistance!$K:$K,0,$A$2-Persistance!$K$1),Persistance!$B:$B,$A24,Persistance!$D:$D,B$5,Persistance!$A:$A,"Consumer")*1000</f>
        <v>0</v>
      </c>
      <c r="C24" s="51">
        <f ca="1">SUMIFS(OFFSET(Persistance!$K:$K,0,$A$2-Persistance!$K$1),Persistance!$B:$B,$A24,Persistance!$D:$D,C$5,Persistance!$A:$A,"Consumer")*1000</f>
        <v>0</v>
      </c>
      <c r="D24" s="51">
        <f ca="1">SUMIFS(OFFSET(Persistance!$K:$K,0,$A$2-Persistance!$K$1),Persistance!$B:$B,$A24,Persistance!$D:$D,D$5,Persistance!$A:$A,"Consumer")*1000</f>
        <v>0</v>
      </c>
      <c r="E24" s="51">
        <f ca="1">SUMIFS(OFFSET(Persistance!$K:$K,0,$A$2-Persistance!$K$1),Persistance!$B:$B,$A24,Persistance!$D:$D,E$5,Persistance!$A:$A,"Consumer")*1000</f>
        <v>0</v>
      </c>
      <c r="F24" s="51">
        <f ca="1">SUMIFS(OFFSET(Persistance!$K:$K,0,$A$2-Persistance!$K$1),Persistance!$B:$B,$A24,Persistance!$D:$D,F$5,Persistance!$A:$A,"Consumer")*1000</f>
        <v>0</v>
      </c>
      <c r="G24" s="51">
        <f ca="1">SUMIFS(OFFSET(Persistance!$K:$K,0,$A$2-Persistance!$K$1),Persistance!$B:$B,$A24,Persistance!$D:$D,G$5,Persistance!$A:$A,"Consumer")*1000</f>
        <v>0</v>
      </c>
      <c r="H24" s="51">
        <f ca="1">SUMIFS(OFFSET(Persistance!$K:$K,0,$A$2-Persistance!$K$1),Persistance!$B:$B,$A24,Persistance!$D:$D,H$5,Persistance!$A:$A,"Consumer")*1000</f>
        <v>0</v>
      </c>
      <c r="I24" s="51">
        <f ca="1">SUMIFS(OFFSET(Persistance!$K:$K,0,$A$2-Persistance!$K$1),Persistance!$B:$B,$A24,Persistance!$D:$D,I$5,Persistance!$A:$A,"Consumer")*1000</f>
        <v>0</v>
      </c>
      <c r="J24" s="51">
        <f ca="1">SUMIFS(OFFSET(Persistance!$K:$K,0,$A$2-Persistance!$K$1),Persistance!$B:$B,$A24,Persistance!$D:$D,J$5,Persistance!$A:$A,"Consumer")*1000</f>
        <v>0</v>
      </c>
      <c r="K24" s="51">
        <f ca="1">SUMIFS(OFFSET(Persistance!$K:$K,0,$A$2-Persistance!$K$1),Persistance!$B:$B,$A24,Persistance!$D:$D,K$5,Persistance!$A:$A,"Consumer")*1000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39</v>
      </c>
      <c r="B25" s="51">
        <f ca="1">SUMIFS(OFFSET(Persistance!$K:$K,0,$A$2-Persistance!$K$1),Persistance!$B:$B,$A25,Persistance!$D:$D,B$5,Persistance!$A:$A,"Consumer")*1000</f>
        <v>0</v>
      </c>
      <c r="C25" s="51">
        <f ca="1">SUMIFS(OFFSET(Persistance!$K:$K,0,$A$2-Persistance!$K$1),Persistance!$B:$B,$A25,Persistance!$D:$D,C$5,Persistance!$A:$A,"Consumer")*1000</f>
        <v>0</v>
      </c>
      <c r="D25" s="51">
        <f ca="1">SUMIFS(OFFSET(Persistance!$K:$K,0,$A$2-Persistance!$K$1),Persistance!$B:$B,$A25,Persistance!$D:$D,D$5,Persistance!$A:$A,"Consumer")*1000</f>
        <v>0</v>
      </c>
      <c r="E25" s="51">
        <f ca="1">SUMIFS(OFFSET(Persistance!$K:$K,0,$A$2-Persistance!$K$1),Persistance!$B:$B,$A25,Persistance!$D:$D,E$5,Persistance!$A:$A,"Consumer")*1000</f>
        <v>0</v>
      </c>
      <c r="F25" s="51">
        <f ca="1">SUMIFS(OFFSET(Persistance!$K:$K,0,$A$2-Persistance!$K$1),Persistance!$B:$B,$A25,Persistance!$D:$D,F$5,Persistance!$A:$A,"Consumer")*1000</f>
        <v>0</v>
      </c>
      <c r="G25" s="51">
        <f ca="1">SUMIFS(OFFSET(Persistance!$K:$K,0,$A$2-Persistance!$K$1),Persistance!$B:$B,$A25,Persistance!$D:$D,G$5,Persistance!$A:$A,"Consumer")*1000</f>
        <v>0</v>
      </c>
      <c r="H25" s="51">
        <f ca="1">SUMIFS(OFFSET(Persistance!$K:$K,0,$A$2-Persistance!$K$1),Persistance!$B:$B,$A25,Persistance!$D:$D,H$5,Persistance!$A:$A,"Consumer")*1000</f>
        <v>0</v>
      </c>
      <c r="I25" s="51">
        <f ca="1">SUMIFS(OFFSET(Persistance!$K:$K,0,$A$2-Persistance!$K$1),Persistance!$B:$B,$A25,Persistance!$D:$D,I$5,Persistance!$A:$A,"Consumer")*1000</f>
        <v>0</v>
      </c>
      <c r="J25" s="51">
        <f ca="1">SUMIFS(OFFSET(Persistance!$K:$K,0,$A$2-Persistance!$K$1),Persistance!$B:$B,$A25,Persistance!$D:$D,J$5,Persistance!$A:$A,"Consumer")*1000</f>
        <v>0</v>
      </c>
      <c r="K25" s="51">
        <f ca="1">SUMIFS(OFFSET(Persistance!$K:$K,0,$A$2-Persistance!$K$1),Persistance!$B:$B,$A25,Persistance!$D:$D,K$5,Persistance!$A:$A,"Consumer")*1000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54</v>
      </c>
      <c r="B26" s="51">
        <f ca="1">SUMIFS(OFFSET(Persistance!$K:$K,0,$A$2-Persistance!$K$1),Persistance!$B:$B,$A26,Persistance!$D:$D,B$5,Persistance!$A:$A,"Consumer")*1000</f>
        <v>0</v>
      </c>
      <c r="C26" s="51">
        <f ca="1">SUMIFS(OFFSET(Persistance!$K:$K,0,$A$2-Persistance!$K$1),Persistance!$B:$B,$A26,Persistance!$D:$D,C$5,Persistance!$A:$A,"Consumer")*1000</f>
        <v>0</v>
      </c>
      <c r="D26" s="51">
        <f ca="1">SUMIFS(OFFSET(Persistance!$K:$K,0,$A$2-Persistance!$K$1),Persistance!$B:$B,$A26,Persistance!$D:$D,D$5,Persistance!$A:$A,"Consumer")*1000</f>
        <v>0</v>
      </c>
      <c r="E26" s="51">
        <f ca="1">SUMIFS(OFFSET(Persistance!$K:$K,0,$A$2-Persistance!$K$1),Persistance!$B:$B,$A26,Persistance!$D:$D,E$5,Persistance!$A:$A,"Consumer")*1000</f>
        <v>0</v>
      </c>
      <c r="F26" s="51">
        <f ca="1">SUMIFS(OFFSET(Persistance!$K:$K,0,$A$2-Persistance!$K$1),Persistance!$B:$B,$A26,Persistance!$D:$D,F$5,Persistance!$A:$A,"Consumer")*1000</f>
        <v>0</v>
      </c>
      <c r="G26" s="51">
        <f ca="1">SUMIFS(OFFSET(Persistance!$K:$K,0,$A$2-Persistance!$K$1),Persistance!$B:$B,$A26,Persistance!$D:$D,G$5,Persistance!$A:$A,"Consumer")*1000</f>
        <v>0</v>
      </c>
      <c r="H26" s="51">
        <f ca="1">SUMIFS(OFFSET(Persistance!$K:$K,0,$A$2-Persistance!$K$1),Persistance!$B:$B,$A26,Persistance!$D:$D,H$5,Persistance!$A:$A,"Consumer")*1000</f>
        <v>0</v>
      </c>
      <c r="I26" s="51">
        <f ca="1">SUMIFS(OFFSET(Persistance!$K:$K,0,$A$2-Persistance!$K$1),Persistance!$B:$B,$A26,Persistance!$D:$D,I$5,Persistance!$A:$A,"Consumer")*1000</f>
        <v>0</v>
      </c>
      <c r="J26" s="51">
        <f ca="1">SUMIFS(OFFSET(Persistance!$K:$K,0,$A$2-Persistance!$K$1),Persistance!$B:$B,$A26,Persistance!$D:$D,J$5,Persistance!$A:$A,"Consumer")*1000</f>
        <v>0</v>
      </c>
      <c r="K26" s="51">
        <f ca="1">SUMIFS(OFFSET(Persistance!$K:$K,0,$A$2-Persistance!$K$1),Persistance!$B:$B,$A26,Persistance!$D:$D,K$5,Persistance!$A:$A,"Consumer")*1000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38</v>
      </c>
      <c r="B27" s="51">
        <f ca="1">SUMIFS(OFFSET(Persistance!$K:$K,0,$A$2-Persistance!$K$1),Persistance!$B:$B,$A27,Persistance!$D:$D,B$5,Persistance!$A:$A,"Consumer")*1000</f>
        <v>0</v>
      </c>
      <c r="C27" s="51">
        <f ca="1">SUMIFS(OFFSET(Persistance!$K:$K,0,$A$2-Persistance!$K$1),Persistance!$B:$B,$A27,Persistance!$D:$D,C$5,Persistance!$A:$A,"Consumer")*1000</f>
        <v>0</v>
      </c>
      <c r="D27" s="51">
        <f ca="1">SUMIFS(OFFSET(Persistance!$K:$K,0,$A$2-Persistance!$K$1),Persistance!$B:$B,$A27,Persistance!$D:$D,D$5,Persistance!$A:$A,"Consumer")*1000</f>
        <v>0</v>
      </c>
      <c r="E27" s="51">
        <f ca="1">SUMIFS(OFFSET(Persistance!$K:$K,0,$A$2-Persistance!$K$1),Persistance!$B:$B,$A27,Persistance!$D:$D,E$5,Persistance!$A:$A,"Consumer")*1000</f>
        <v>0</v>
      </c>
      <c r="F27" s="51">
        <f ca="1">SUMIFS(OFFSET(Persistance!$K:$K,0,$A$2-Persistance!$K$1),Persistance!$B:$B,$A27,Persistance!$D:$D,F$5,Persistance!$A:$A,"Consumer")*1000</f>
        <v>0</v>
      </c>
      <c r="G27" s="51">
        <f ca="1">SUMIFS(OFFSET(Persistance!$K:$K,0,$A$2-Persistance!$K$1),Persistance!$B:$B,$A27,Persistance!$D:$D,G$5,Persistance!$A:$A,"Consumer")*1000</f>
        <v>0</v>
      </c>
      <c r="H27" s="51">
        <f ca="1">SUMIFS(OFFSET(Persistance!$K:$K,0,$A$2-Persistance!$K$1),Persistance!$B:$B,$A27,Persistance!$D:$D,H$5,Persistance!$A:$A,"Consumer")*1000</f>
        <v>0</v>
      </c>
      <c r="I27" s="51">
        <f ca="1">SUMIFS(OFFSET(Persistance!$K:$K,0,$A$2-Persistance!$K$1),Persistance!$B:$B,$A27,Persistance!$D:$D,I$5,Persistance!$A:$A,"Consumer")*1000</f>
        <v>0</v>
      </c>
      <c r="J27" s="51">
        <f ca="1">SUMIFS(OFFSET(Persistance!$K:$K,0,$A$2-Persistance!$K$1),Persistance!$B:$B,$A27,Persistance!$D:$D,J$5,Persistance!$A:$A,"Consumer")*1000</f>
        <v>0</v>
      </c>
      <c r="K27" s="51">
        <f ca="1">SUMIFS(OFFSET(Persistance!$K:$K,0,$A$2-Persistance!$K$1),Persistance!$B:$B,$A27,Persistance!$D:$D,K$5,Persistance!$A:$A,"Consumer")*1000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64</v>
      </c>
      <c r="B28" s="51">
        <f ca="1">SUMIFS(OFFSET(Persistance!$K:$K,0,$A$2-Persistance!$K$1),Persistance!$B:$B,$A28,Persistance!$D:$D,B$5,Persistance!$A:$A,"Consumer")*1000</f>
        <v>0</v>
      </c>
      <c r="C28" s="51">
        <f ca="1">SUMIFS(OFFSET(Persistance!$K:$K,0,$A$2-Persistance!$K$1),Persistance!$B:$B,$A28,Persistance!$D:$D,C$5,Persistance!$A:$A,"Consumer")*1000</f>
        <v>0</v>
      </c>
      <c r="D28" s="51">
        <f ca="1">SUMIFS(OFFSET(Persistance!$K:$K,0,$A$2-Persistance!$K$1),Persistance!$B:$B,$A28,Persistance!$D:$D,D$5,Persistance!$A:$A,"Consumer")*1000</f>
        <v>0</v>
      </c>
      <c r="E28" s="51">
        <f ca="1">SUMIFS(OFFSET(Persistance!$K:$K,0,$A$2-Persistance!$K$1),Persistance!$B:$B,$A28,Persistance!$D:$D,E$5,Persistance!$A:$A,"Consumer")*1000</f>
        <v>0</v>
      </c>
      <c r="F28" s="51">
        <f ca="1">SUMIFS(OFFSET(Persistance!$K:$K,0,$A$2-Persistance!$K$1),Persistance!$B:$B,$A28,Persistance!$D:$D,F$5,Persistance!$A:$A,"Consumer")*1000</f>
        <v>0</v>
      </c>
      <c r="G28" s="51">
        <f ca="1">SUMIFS(OFFSET(Persistance!$K:$K,0,$A$2-Persistance!$K$1),Persistance!$B:$B,$A28,Persistance!$D:$D,G$5,Persistance!$A:$A,"Consumer")*1000</f>
        <v>0</v>
      </c>
      <c r="H28" s="51">
        <f ca="1">SUMIFS(OFFSET(Persistance!$K:$K,0,$A$2-Persistance!$K$1),Persistance!$B:$B,$A28,Persistance!$D:$D,H$5,Persistance!$A:$A,"Consumer")*1000</f>
        <v>0</v>
      </c>
      <c r="I28" s="51">
        <f ca="1">SUMIFS(OFFSET(Persistance!$K:$K,0,$A$2-Persistance!$K$1),Persistance!$B:$B,$A28,Persistance!$D:$D,I$5,Persistance!$A:$A,"Consumer")*1000</f>
        <v>0</v>
      </c>
      <c r="J28" s="51">
        <f ca="1">SUMIFS(OFFSET(Persistance!$K:$K,0,$A$2-Persistance!$K$1),Persistance!$B:$B,$A28,Persistance!$D:$D,J$5,Persistance!$A:$A,"Consumer")*1000</f>
        <v>0</v>
      </c>
      <c r="K28" s="51">
        <f ca="1">SUMIFS(OFFSET(Persistance!$K:$K,0,$A$2-Persistance!$K$1),Persistance!$B:$B,$A28,Persistance!$D:$D,K$5,Persistance!$A:$A,"Consumer")*1000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48</v>
      </c>
      <c r="T28" s="28" t="s">
        <v>17</v>
      </c>
      <c r="U28" s="2" t="s">
        <v>49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2012</v>
      </c>
      <c r="T29" s="50">
        <f ca="1">AVERAGEIFS(Rates!E:E,Rates!F:F,'2012'!S29,Rates!G:G,"Consumer")</f>
        <v>1.4500000000000001E-2</v>
      </c>
      <c r="U29" s="30">
        <f ca="1">AVERAGEIFS(Rates!B:B,Rates!F:F,'2012'!S29,Rates!G:G,"Consumer")</f>
        <v>41091</v>
      </c>
    </row>
    <row r="30" spans="1:21" x14ac:dyDescent="0.25">
      <c r="A30" t="s">
        <v>9</v>
      </c>
      <c r="B30" s="64">
        <f ca="1">SUM(B8:B29)</f>
        <v>152548.00402614445</v>
      </c>
      <c r="C30" s="64">
        <f ca="1">SUM(C8:C29)</f>
        <v>130336.28647278562</v>
      </c>
      <c r="D30" s="64">
        <f ca="1">SUM(D8:D29)</f>
        <v>0</v>
      </c>
      <c r="E30" s="64">
        <f t="shared" ref="E30:K30" ca="1" si="3">SUM(E8:E29)</f>
        <v>0</v>
      </c>
      <c r="F30" s="64">
        <f t="shared" ca="1" si="3"/>
        <v>0</v>
      </c>
      <c r="G30" s="64">
        <f t="shared" ca="1" si="3"/>
        <v>0</v>
      </c>
      <c r="H30" s="64">
        <f t="shared" ca="1" si="3"/>
        <v>0</v>
      </c>
      <c r="I30" s="64">
        <f t="shared" ca="1" si="3"/>
        <v>0</v>
      </c>
      <c r="J30" s="64">
        <f t="shared" ca="1" si="3"/>
        <v>0</v>
      </c>
      <c r="K30" s="64">
        <f t="shared" ca="1" si="3"/>
        <v>0</v>
      </c>
      <c r="L30" s="64">
        <f ca="1">SUM(L8:L29)</f>
        <v>282884.29049893009</v>
      </c>
      <c r="M30" s="64">
        <f>Summary!$H$6</f>
        <v>522335</v>
      </c>
      <c r="N30" s="64">
        <f ca="1">(((MONTH(U29)-1)/12)*T30)+(((12-(MONTH(U29)-1))/12)*T29)</f>
        <v>1.3100000000000001E-2</v>
      </c>
      <c r="O30" s="64">
        <f ca="1">ROUND(L30*N30,2)</f>
        <v>3705.78</v>
      </c>
      <c r="P30" s="64">
        <f ca="1">ROUND(M30*N30,2)</f>
        <v>6842.59</v>
      </c>
      <c r="Q30" s="64">
        <f ca="1">+O30-P30</f>
        <v>-3136.81</v>
      </c>
      <c r="R30" s="2"/>
      <c r="S30" s="29">
        <f ca="1">S29-1</f>
        <v>2011</v>
      </c>
      <c r="T30" s="50">
        <f ca="1">AVERAGEIFS(Rates!E:E,Rates!F:F,'2012'!S30,Rates!G:G,"Consumer")</f>
        <v>1.17E-2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44</v>
      </c>
      <c r="B32" s="51">
        <f ca="1">SUMIFS(OFFSET(Persistance!$K:$K,0,$A$2-Persistance!$K$1),Persistance!$B:$B,$A32,Persistance!$D:$D,B$5,Persistance!$A:$A,"Business")*1000</f>
        <v>0</v>
      </c>
      <c r="C32" s="51">
        <f ca="1">SUMIFS(OFFSET(Persistance!$K:$K,0,$A$2-Persistance!$K$1),Persistance!$B:$B,$A32,Persistance!$D:$D,C$5,Persistance!$A:$A,"Business")*1000</f>
        <v>0</v>
      </c>
      <c r="D32" s="51">
        <f ca="1">SUMIFS(OFFSET(Persistance!$K:$K,0,$A$2-Persistance!$K$1),Persistance!$B:$B,$A32,Persistance!$D:$D,D$5,Persistance!$A:$A,"Business")*1000</f>
        <v>0</v>
      </c>
      <c r="E32" s="51">
        <f ca="1">SUMIFS(OFFSET(Persistance!$K:$K,0,$A$2-Persistance!$K$1),Persistance!$B:$B,$A32,Persistance!$D:$D,E$5,Persistance!$A:$A,"Business")*1000</f>
        <v>0</v>
      </c>
      <c r="F32" s="51">
        <f ca="1">SUMIFS(OFFSET(Persistance!$K:$K,0,$A$2-Persistance!$K$1),Persistance!$B:$B,$A32,Persistance!$D:$D,F$5,Persistance!$A:$A,"Business")*1000</f>
        <v>0</v>
      </c>
      <c r="G32" s="51">
        <f ca="1">SUMIFS(OFFSET(Persistance!$K:$K,0,$A$2-Persistance!$K$1),Persistance!$B:$B,$A32,Persistance!$D:$D,G$5,Persistance!$A:$A,"Business")*1000</f>
        <v>0</v>
      </c>
      <c r="H32" s="51">
        <f ca="1">SUMIFS(OFFSET(Persistance!$K:$K,0,$A$2-Persistance!$K$1),Persistance!$B:$B,$A32,Persistance!$D:$D,H$5,Persistance!$A:$A,"Business")*1000</f>
        <v>0</v>
      </c>
      <c r="I32" s="51">
        <f ca="1">SUMIFS(OFFSET(Persistance!$K:$K,0,$A$2-Persistance!$K$1),Persistance!$B:$B,$A32,Persistance!$D:$D,I$5,Persistance!$A:$A,"Business")*1000</f>
        <v>0</v>
      </c>
      <c r="J32" s="51">
        <f ca="1">SUMIFS(OFFSET(Persistance!$K:$K,0,$A$2-Persistance!$K$1),Persistance!$B:$B,$A32,Persistance!$D:$D,J$5,Persistance!$A:$A,"Business")*1000</f>
        <v>0</v>
      </c>
      <c r="K32" s="51">
        <f ca="1">SUMIFS(OFFSET(Persistance!$K:$K,0,$A$2-Persistance!$K$1),Persistance!$B:$B,$A32,Persistance!$D:$D,K$5,Persistance!$A:$A,"Business")*1000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66</v>
      </c>
      <c r="B33" s="51">
        <f ca="1">SUMIFS(OFFSET(Persistance!$K:$K,0,$A$2-Persistance!$K$1),Persistance!$B:$B,$A33,Persistance!$D:$D,B$5,Persistance!$A:$A,"Business")*1000</f>
        <v>0</v>
      </c>
      <c r="C33" s="51">
        <f ca="1">SUMIFS(OFFSET(Persistance!$K:$K,0,$A$2-Persistance!$K$1),Persistance!$B:$B,$A33,Persistance!$D:$D,C$5,Persistance!$A:$A,"Business")*1000</f>
        <v>0</v>
      </c>
      <c r="D33" s="51">
        <f ca="1">SUMIFS(OFFSET(Persistance!$K:$K,0,$A$2-Persistance!$K$1),Persistance!$B:$B,$A33,Persistance!$D:$D,D$5,Persistance!$A:$A,"Business")*1000</f>
        <v>0</v>
      </c>
      <c r="E33" s="51">
        <f ca="1">SUMIFS(OFFSET(Persistance!$K:$K,0,$A$2-Persistance!$K$1),Persistance!$B:$B,$A33,Persistance!$D:$D,E$5,Persistance!$A:$A,"Business")*1000</f>
        <v>0</v>
      </c>
      <c r="F33" s="51">
        <f ca="1">SUMIFS(OFFSET(Persistance!$K:$K,0,$A$2-Persistance!$K$1),Persistance!$B:$B,$A33,Persistance!$D:$D,F$5,Persistance!$A:$A,"Business")*1000</f>
        <v>0</v>
      </c>
      <c r="G33" s="51">
        <f ca="1">SUMIFS(OFFSET(Persistance!$K:$K,0,$A$2-Persistance!$K$1),Persistance!$B:$B,$A33,Persistance!$D:$D,G$5,Persistance!$A:$A,"Business")*1000</f>
        <v>0</v>
      </c>
      <c r="H33" s="51">
        <f ca="1">SUMIFS(OFFSET(Persistance!$K:$K,0,$A$2-Persistance!$K$1),Persistance!$B:$B,$A33,Persistance!$D:$D,H$5,Persistance!$A:$A,"Business")*1000</f>
        <v>0</v>
      </c>
      <c r="I33" s="51">
        <f ca="1">SUMIFS(OFFSET(Persistance!$K:$K,0,$A$2-Persistance!$K$1),Persistance!$B:$B,$A33,Persistance!$D:$D,I$5,Persistance!$A:$A,"Business")*1000</f>
        <v>0</v>
      </c>
      <c r="J33" s="51">
        <f ca="1">SUMIFS(OFFSET(Persistance!$K:$K,0,$A$2-Persistance!$K$1),Persistance!$B:$B,$A33,Persistance!$D:$D,J$5,Persistance!$A:$A,"Business")*1000</f>
        <v>0</v>
      </c>
      <c r="K33" s="51">
        <f ca="1">SUMIFS(OFFSET(Persistance!$K:$K,0,$A$2-Persistance!$K$1),Persistance!$B:$B,$A33,Persistance!$D:$D,K$5,Persistance!$A:$A,"Business")*1000</f>
        <v>0</v>
      </c>
      <c r="L33" s="34">
        <f t="shared" ref="L33:L49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65</v>
      </c>
      <c r="B34" s="51">
        <f ca="1">SUMIFS(OFFSET(Persistance!$K:$K,0,$A$2-Persistance!$K$1),Persistance!$B:$B,$A34,Persistance!$D:$D,B$5,Persistance!$A:$A,"Business")*1000</f>
        <v>0</v>
      </c>
      <c r="C34" s="51">
        <f ca="1">SUMIFS(OFFSET(Persistance!$K:$K,0,$A$2-Persistance!$K$1),Persistance!$B:$B,$A34,Persistance!$D:$D,C$5,Persistance!$A:$A,"Business")*1000</f>
        <v>0</v>
      </c>
      <c r="D34" s="51">
        <f ca="1">SUMIFS(OFFSET(Persistance!$K:$K,0,$A$2-Persistance!$K$1),Persistance!$B:$B,$A34,Persistance!$D:$D,D$5,Persistance!$A:$A,"Business")*1000</f>
        <v>0</v>
      </c>
      <c r="E34" s="51">
        <f ca="1">SUMIFS(OFFSET(Persistance!$K:$K,0,$A$2-Persistance!$K$1),Persistance!$B:$B,$A34,Persistance!$D:$D,E$5,Persistance!$A:$A,"Business")*1000</f>
        <v>0</v>
      </c>
      <c r="F34" s="51">
        <f ca="1">SUMIFS(OFFSET(Persistance!$K:$K,0,$A$2-Persistance!$K$1),Persistance!$B:$B,$A34,Persistance!$D:$D,F$5,Persistance!$A:$A,"Business")*1000</f>
        <v>0</v>
      </c>
      <c r="G34" s="51">
        <f ca="1">SUMIFS(OFFSET(Persistance!$K:$K,0,$A$2-Persistance!$K$1),Persistance!$B:$B,$A34,Persistance!$D:$D,G$5,Persistance!$A:$A,"Business")*1000</f>
        <v>0</v>
      </c>
      <c r="H34" s="51">
        <f ca="1">SUMIFS(OFFSET(Persistance!$K:$K,0,$A$2-Persistance!$K$1),Persistance!$B:$B,$A34,Persistance!$D:$D,H$5,Persistance!$A:$A,"Business")*1000</f>
        <v>0</v>
      </c>
      <c r="I34" s="51">
        <f ca="1">SUMIFS(OFFSET(Persistance!$K:$K,0,$A$2-Persistance!$K$1),Persistance!$B:$B,$A34,Persistance!$D:$D,I$5,Persistance!$A:$A,"Business")*1000</f>
        <v>0</v>
      </c>
      <c r="J34" s="51">
        <f ca="1">SUMIFS(OFFSET(Persistance!$K:$K,0,$A$2-Persistance!$K$1),Persistance!$B:$B,$A34,Persistance!$D:$D,J$5,Persistance!$A:$A,"Business")*1000</f>
        <v>0</v>
      </c>
      <c r="K34" s="51">
        <f ca="1">SUMIFS(OFFSET(Persistance!$K:$K,0,$A$2-Persistance!$K$1),Persistance!$B:$B,$A34,Persistance!$D:$D,K$5,Persistance!$A:$A,"Business")*1000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42</v>
      </c>
      <c r="B35" s="51">
        <f ca="1">SUMIFS(OFFSET(Persistance!$K:$K,0,$A$2-Persistance!$K$1),Persistance!$B:$B,$A35,Persistance!$D:$D,B$5,Persistance!$A:$A,"Business")*1000</f>
        <v>0</v>
      </c>
      <c r="C35" s="51">
        <f ca="1">SUMIFS(OFFSET(Persistance!$K:$K,0,$A$2-Persistance!$K$1),Persistance!$B:$B,$A35,Persistance!$D:$D,C$5,Persistance!$A:$A,"Business")*1000</f>
        <v>0</v>
      </c>
      <c r="D35" s="51">
        <f ca="1">SUMIFS(OFFSET(Persistance!$K:$K,0,$A$2-Persistance!$K$1),Persistance!$B:$B,$A35,Persistance!$D:$D,D$5,Persistance!$A:$A,"Business")*1000</f>
        <v>0</v>
      </c>
      <c r="E35" s="51">
        <f ca="1">SUMIFS(OFFSET(Persistance!$K:$K,0,$A$2-Persistance!$K$1),Persistance!$B:$B,$A35,Persistance!$D:$D,E$5,Persistance!$A:$A,"Business")*1000</f>
        <v>0</v>
      </c>
      <c r="F35" s="51">
        <f ca="1">SUMIFS(OFFSET(Persistance!$K:$K,0,$A$2-Persistance!$K$1),Persistance!$B:$B,$A35,Persistance!$D:$D,F$5,Persistance!$A:$A,"Business")*1000</f>
        <v>0</v>
      </c>
      <c r="G35" s="51">
        <f ca="1">SUMIFS(OFFSET(Persistance!$K:$K,0,$A$2-Persistance!$K$1),Persistance!$B:$B,$A35,Persistance!$D:$D,G$5,Persistance!$A:$A,"Business")*1000</f>
        <v>0</v>
      </c>
      <c r="H35" s="51">
        <f ca="1">SUMIFS(OFFSET(Persistance!$K:$K,0,$A$2-Persistance!$K$1),Persistance!$B:$B,$A35,Persistance!$D:$D,H$5,Persistance!$A:$A,"Business")*1000</f>
        <v>0</v>
      </c>
      <c r="I35" s="51">
        <f ca="1">SUMIFS(OFFSET(Persistance!$K:$K,0,$A$2-Persistance!$K$1),Persistance!$B:$B,$A35,Persistance!$D:$D,I$5,Persistance!$A:$A,"Business")*1000</f>
        <v>0</v>
      </c>
      <c r="J35" s="51">
        <f ca="1">SUMIFS(OFFSET(Persistance!$K:$K,0,$A$2-Persistance!$K$1),Persistance!$B:$B,$A35,Persistance!$D:$D,J$5,Persistance!$A:$A,"Business")*1000</f>
        <v>0</v>
      </c>
      <c r="K35" s="51">
        <f ca="1">SUMIFS(OFFSET(Persistance!$K:$K,0,$A$2-Persistance!$K$1),Persistance!$B:$B,$A35,Persistance!$D:$D,K$5,Persistance!$A:$A,"Business")*1000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1">
        <f ca="1">SUMIFS(OFFSET(Persistance!$K:$K,0,$A$2-Persistance!$K$1),Persistance!$B:$B,$A36,Persistance!$D:$D,B$5,Persistance!$A:$A,"Business")*1000</f>
        <v>272306.3145087288</v>
      </c>
      <c r="C36" s="51">
        <f ca="1">SUMIFS(OFFSET(Persistance!$K:$K,0,$A$2-Persistance!$K$1),Persistance!$B:$B,$A36,Persistance!$D:$D,C$5,Persistance!$A:$A,"Business")*1000</f>
        <v>225554.94849308828</v>
      </c>
      <c r="D36" s="51">
        <f ca="1">SUMIFS(OFFSET(Persistance!$K:$K,0,$A$2-Persistance!$K$1),Persistance!$B:$B,$A36,Persistance!$D:$D,D$5,Persistance!$A:$A,"Business")*1000</f>
        <v>0</v>
      </c>
      <c r="E36" s="51">
        <f ca="1">SUMIFS(OFFSET(Persistance!$K:$K,0,$A$2-Persistance!$K$1),Persistance!$B:$B,$A36,Persistance!$D:$D,E$5,Persistance!$A:$A,"Business")*1000</f>
        <v>0</v>
      </c>
      <c r="F36" s="51">
        <f ca="1">SUMIFS(OFFSET(Persistance!$K:$K,0,$A$2-Persistance!$K$1),Persistance!$B:$B,$A36,Persistance!$D:$D,F$5,Persistance!$A:$A,"Business")*1000</f>
        <v>0</v>
      </c>
      <c r="G36" s="51">
        <f ca="1">SUMIFS(OFFSET(Persistance!$K:$K,0,$A$2-Persistance!$K$1),Persistance!$B:$B,$A36,Persistance!$D:$D,G$5,Persistance!$A:$A,"Business")*1000</f>
        <v>0</v>
      </c>
      <c r="H36" s="51">
        <f ca="1">SUMIFS(OFFSET(Persistance!$K:$K,0,$A$2-Persistance!$K$1),Persistance!$B:$B,$A36,Persistance!$D:$D,H$5,Persistance!$A:$A,"Business")*1000</f>
        <v>0</v>
      </c>
      <c r="I36" s="51">
        <f ca="1">SUMIFS(OFFSET(Persistance!$K:$K,0,$A$2-Persistance!$K$1),Persistance!$B:$B,$A36,Persistance!$D:$D,I$5,Persistance!$A:$A,"Business")*1000</f>
        <v>0</v>
      </c>
      <c r="J36" s="51">
        <f ca="1">SUMIFS(OFFSET(Persistance!$K:$K,0,$A$2-Persistance!$K$1),Persistance!$B:$B,$A36,Persistance!$D:$D,J$5,Persistance!$A:$A,"Business")*1000</f>
        <v>0</v>
      </c>
      <c r="K36" s="51">
        <f ca="1">SUMIFS(OFFSET(Persistance!$K:$K,0,$A$2-Persistance!$K$1),Persistance!$B:$B,$A36,Persistance!$D:$D,K$5,Persistance!$A:$A,"Business")*1000</f>
        <v>0</v>
      </c>
      <c r="L36" s="34">
        <f t="shared" ca="1" si="4"/>
        <v>497861.26300181705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56</v>
      </c>
      <c r="B37" s="51">
        <f ca="1">SUMIFS(OFFSET(Persistance!$K:$K,0,$A$2-Persistance!$K$1),Persistance!$B:$B,$A37,Persistance!$D:$D,B$5,Persistance!$A:$A,"Business")*1000</f>
        <v>0</v>
      </c>
      <c r="C37" s="51">
        <f ca="1">SUMIFS(OFFSET(Persistance!$K:$K,0,$A$2-Persistance!$K$1),Persistance!$B:$B,$A37,Persistance!$D:$D,C$5,Persistance!$A:$A,"Business")*1000</f>
        <v>0</v>
      </c>
      <c r="D37" s="51">
        <f ca="1">SUMIFS(OFFSET(Persistance!$K:$K,0,$A$2-Persistance!$K$1),Persistance!$B:$B,$A37,Persistance!$D:$D,D$5,Persistance!$A:$A,"Business")*1000</f>
        <v>0</v>
      </c>
      <c r="E37" s="51">
        <f ca="1">SUMIFS(OFFSET(Persistance!$K:$K,0,$A$2-Persistance!$K$1),Persistance!$B:$B,$A37,Persistance!$D:$D,E$5,Persistance!$A:$A,"Business")*1000</f>
        <v>0</v>
      </c>
      <c r="F37" s="51">
        <f ca="1">SUMIFS(OFFSET(Persistance!$K:$K,0,$A$2-Persistance!$K$1),Persistance!$B:$B,$A37,Persistance!$D:$D,F$5,Persistance!$A:$A,"Business")*1000</f>
        <v>0</v>
      </c>
      <c r="G37" s="51">
        <f ca="1">SUMIFS(OFFSET(Persistance!$K:$K,0,$A$2-Persistance!$K$1),Persistance!$B:$B,$A37,Persistance!$D:$D,G$5,Persistance!$A:$A,"Business")*1000</f>
        <v>0</v>
      </c>
      <c r="H37" s="51">
        <f ca="1">SUMIFS(OFFSET(Persistance!$K:$K,0,$A$2-Persistance!$K$1),Persistance!$B:$B,$A37,Persistance!$D:$D,H$5,Persistance!$A:$A,"Business")*1000</f>
        <v>0</v>
      </c>
      <c r="I37" s="51">
        <f ca="1">SUMIFS(OFFSET(Persistance!$K:$K,0,$A$2-Persistance!$K$1),Persistance!$B:$B,$A37,Persistance!$D:$D,I$5,Persistance!$A:$A,"Business")*1000</f>
        <v>0</v>
      </c>
      <c r="J37" s="51">
        <f ca="1">SUMIFS(OFFSET(Persistance!$K:$K,0,$A$2-Persistance!$K$1),Persistance!$B:$B,$A37,Persistance!$D:$D,J$5,Persistance!$A:$A,"Business")*1000</f>
        <v>0</v>
      </c>
      <c r="K37" s="51">
        <f ca="1">SUMIFS(OFFSET(Persistance!$K:$K,0,$A$2-Persistance!$K$1),Persistance!$B:$B,$A37,Persistance!$D:$D,K$5,Persistance!$A:$A,"Business")*1000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13</v>
      </c>
      <c r="B38" s="51">
        <f ca="1">SUMIFS(OFFSET(Persistance!$K:$K,0,$A$2-Persistance!$K$1),Persistance!$B:$B,$A38,Persistance!$D:$D,B$5,Persistance!$A:$A,"Business")*1000</f>
        <v>7842.98302788</v>
      </c>
      <c r="C38" s="51">
        <f ca="1">SUMIFS(OFFSET(Persistance!$K:$K,0,$A$2-Persistance!$K$1),Persistance!$B:$B,$A38,Persistance!$D:$D,C$5,Persistance!$A:$A,"Business")*1000</f>
        <v>0</v>
      </c>
      <c r="D38" s="51">
        <f ca="1">SUMIFS(OFFSET(Persistance!$K:$K,0,$A$2-Persistance!$K$1),Persistance!$B:$B,$A38,Persistance!$D:$D,D$5,Persistance!$A:$A,"Business")*1000</f>
        <v>0</v>
      </c>
      <c r="E38" s="51">
        <f ca="1">SUMIFS(OFFSET(Persistance!$K:$K,0,$A$2-Persistance!$K$1),Persistance!$B:$B,$A38,Persistance!$D:$D,E$5,Persistance!$A:$A,"Business")*1000</f>
        <v>0</v>
      </c>
      <c r="F38" s="51">
        <f ca="1">SUMIFS(OFFSET(Persistance!$K:$K,0,$A$2-Persistance!$K$1),Persistance!$B:$B,$A38,Persistance!$D:$D,F$5,Persistance!$A:$A,"Business")*1000</f>
        <v>0</v>
      </c>
      <c r="G38" s="51">
        <f ca="1">SUMIFS(OFFSET(Persistance!$K:$K,0,$A$2-Persistance!$K$1),Persistance!$B:$B,$A38,Persistance!$D:$D,G$5,Persistance!$A:$A,"Business")*1000</f>
        <v>0</v>
      </c>
      <c r="H38" s="51">
        <f ca="1">SUMIFS(OFFSET(Persistance!$K:$K,0,$A$2-Persistance!$K$1),Persistance!$B:$B,$A38,Persistance!$D:$D,H$5,Persistance!$A:$A,"Business")*1000</f>
        <v>0</v>
      </c>
      <c r="I38" s="51">
        <f ca="1">SUMIFS(OFFSET(Persistance!$K:$K,0,$A$2-Persistance!$K$1),Persistance!$B:$B,$A38,Persistance!$D:$D,I$5,Persistance!$A:$A,"Business")*1000</f>
        <v>0</v>
      </c>
      <c r="J38" s="51">
        <f ca="1">SUMIFS(OFFSET(Persistance!$K:$K,0,$A$2-Persistance!$K$1),Persistance!$B:$B,$A38,Persistance!$D:$D,J$5,Persistance!$A:$A,"Business")*1000</f>
        <v>0</v>
      </c>
      <c r="K38" s="51">
        <f ca="1">SUMIFS(OFFSET(Persistance!$K:$K,0,$A$2-Persistance!$K$1),Persistance!$B:$B,$A38,Persistance!$D:$D,K$5,Persistance!$A:$A,"Business")*1000</f>
        <v>0</v>
      </c>
      <c r="L38" s="34">
        <f t="shared" ref="L38" ca="1" si="5">SUM(B38:K38)</f>
        <v>7842.98302788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69</v>
      </c>
      <c r="B39" s="51">
        <f ca="1">SUMIFS(OFFSET(Persistance!$K:$K,0,$A$2-Persistance!$K$1),Persistance!$B:$B,$A39,Persistance!$D:$D,B$5,Persistance!$A:$A,"Business")*1000</f>
        <v>0</v>
      </c>
      <c r="C39" s="51">
        <f ca="1">SUMIFS(OFFSET(Persistance!$K:$K,0,$A$2-Persistance!$K$1),Persistance!$B:$B,$A39,Persistance!$D:$D,C$5,Persistance!$A:$A,"Business")*1000</f>
        <v>0</v>
      </c>
      <c r="D39" s="51">
        <f ca="1">SUMIFS(OFFSET(Persistance!$K:$K,0,$A$2-Persistance!$K$1),Persistance!$B:$B,$A39,Persistance!$D:$D,D$5,Persistance!$A:$A,"Business")*1000</f>
        <v>0</v>
      </c>
      <c r="E39" s="51">
        <f ca="1">SUMIFS(OFFSET(Persistance!$K:$K,0,$A$2-Persistance!$K$1),Persistance!$B:$B,$A39,Persistance!$D:$D,E$5,Persistance!$A:$A,"Business")*1000</f>
        <v>0</v>
      </c>
      <c r="F39" s="51">
        <f ca="1">SUMIFS(OFFSET(Persistance!$K:$K,0,$A$2-Persistance!$K$1),Persistance!$B:$B,$A39,Persistance!$D:$D,F$5,Persistance!$A:$A,"Business")*1000</f>
        <v>0</v>
      </c>
      <c r="G39" s="51">
        <f ca="1">SUMIFS(OFFSET(Persistance!$K:$K,0,$A$2-Persistance!$K$1),Persistance!$B:$B,$A39,Persistance!$D:$D,G$5,Persistance!$A:$A,"Business")*1000</f>
        <v>0</v>
      </c>
      <c r="H39" s="51">
        <f ca="1">SUMIFS(OFFSET(Persistance!$K:$K,0,$A$2-Persistance!$K$1),Persistance!$B:$B,$A39,Persistance!$D:$D,H$5,Persistance!$A:$A,"Business")*1000</f>
        <v>0</v>
      </c>
      <c r="I39" s="51">
        <f ca="1">SUMIFS(OFFSET(Persistance!$K:$K,0,$A$2-Persistance!$K$1),Persistance!$B:$B,$A39,Persistance!$D:$D,I$5,Persistance!$A:$A,"Business")*1000</f>
        <v>0</v>
      </c>
      <c r="J39" s="51">
        <f ca="1">SUMIFS(OFFSET(Persistance!$K:$K,0,$A$2-Persistance!$K$1),Persistance!$B:$B,$A39,Persistance!$D:$D,J$5,Persistance!$A:$A,"Business")*1000</f>
        <v>0</v>
      </c>
      <c r="K39" s="51">
        <f ca="1">SUMIFS(OFFSET(Persistance!$K:$K,0,$A$2-Persistance!$K$1),Persistance!$B:$B,$A39,Persistance!$D:$D,K$5,Persistance!$A:$A,"Business")*1000</f>
        <v>0</v>
      </c>
      <c r="L39" s="34">
        <f t="shared" ca="1" si="4"/>
        <v>0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90</v>
      </c>
      <c r="B40" s="51">
        <f ca="1">SUMIFS(OFFSET(Persistance!$K:$K,0,$A$2-Persistance!$K$1),Persistance!$B:$B,$A40,Persistance!$D:$D,B$5,Persistance!$A:$A,"Business")*1000</f>
        <v>0</v>
      </c>
      <c r="C40" s="51">
        <f ca="1">SUMIFS(OFFSET(Persistance!$K:$K,0,$A$2-Persistance!$K$1),Persistance!$B:$B,$A40,Persistance!$D:$D,C$5,Persistance!$A:$A,"Business")*1000</f>
        <v>0</v>
      </c>
      <c r="D40" s="51">
        <f ca="1">SUMIFS(OFFSET(Persistance!$K:$K,0,$A$2-Persistance!$K$1),Persistance!$B:$B,$A40,Persistance!$D:$D,D$5,Persistance!$A:$A,"Business")*1000</f>
        <v>0</v>
      </c>
      <c r="E40" s="51">
        <f ca="1">SUMIFS(OFFSET(Persistance!$K:$K,0,$A$2-Persistance!$K$1),Persistance!$B:$B,$A40,Persistance!$D:$D,E$5,Persistance!$A:$A,"Business")*1000</f>
        <v>0</v>
      </c>
      <c r="F40" s="51">
        <f ca="1">SUMIFS(OFFSET(Persistance!$K:$K,0,$A$2-Persistance!$K$1),Persistance!$B:$B,$A40,Persistance!$D:$D,F$5,Persistance!$A:$A,"Business")*1000</f>
        <v>0</v>
      </c>
      <c r="G40" s="51">
        <f ca="1">SUMIFS(OFFSET(Persistance!$K:$K,0,$A$2-Persistance!$K$1),Persistance!$B:$B,$A40,Persistance!$D:$D,G$5,Persistance!$A:$A,"Business")*1000</f>
        <v>0</v>
      </c>
      <c r="H40" s="51">
        <f ca="1">SUMIFS(OFFSET(Persistance!$K:$K,0,$A$2-Persistance!$K$1),Persistance!$B:$B,$A40,Persistance!$D:$D,H$5,Persistance!$A:$A,"Business")*1000</f>
        <v>0</v>
      </c>
      <c r="I40" s="51">
        <f ca="1">SUMIFS(OFFSET(Persistance!$K:$K,0,$A$2-Persistance!$K$1),Persistance!$B:$B,$A40,Persistance!$D:$D,I$5,Persistance!$A:$A,"Business")*1000</f>
        <v>0</v>
      </c>
      <c r="J40" s="51">
        <f ca="1">SUMIFS(OFFSET(Persistance!$K:$K,0,$A$2-Persistance!$K$1),Persistance!$B:$B,$A40,Persistance!$D:$D,J$5,Persistance!$A:$A,"Business")*1000</f>
        <v>0</v>
      </c>
      <c r="K40" s="51">
        <f ca="1">SUMIFS(OFFSET(Persistance!$K:$K,0,$A$2-Persistance!$K$1),Persistance!$B:$B,$A40,Persistance!$D:$D,K$5,Persistance!$A:$A,"Business")*1000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55</v>
      </c>
      <c r="B41" s="51">
        <f ca="1">SUMIFS(OFFSET(Persistance!$K:$K,0,$A$2-Persistance!$K$1),Persistance!$B:$B,$A41,Persistance!$D:$D,B$5,Persistance!$A:$A,"Business")*1000</f>
        <v>0</v>
      </c>
      <c r="C41" s="51">
        <f ca="1">SUMIFS(OFFSET(Persistance!$K:$K,0,$A$2-Persistance!$K$1),Persistance!$B:$B,$A41,Persistance!$D:$D,C$5,Persistance!$A:$A,"Business")*1000</f>
        <v>0</v>
      </c>
      <c r="D41" s="51">
        <f ca="1">SUMIFS(OFFSET(Persistance!$K:$K,0,$A$2-Persistance!$K$1),Persistance!$B:$B,$A41,Persistance!$D:$D,D$5,Persistance!$A:$A,"Business")*1000</f>
        <v>0</v>
      </c>
      <c r="E41" s="51">
        <f ca="1">SUMIFS(OFFSET(Persistance!$K:$K,0,$A$2-Persistance!$K$1),Persistance!$B:$B,$A41,Persistance!$D:$D,E$5,Persistance!$A:$A,"Business")*1000</f>
        <v>0</v>
      </c>
      <c r="F41" s="51">
        <f ca="1">SUMIFS(OFFSET(Persistance!$K:$K,0,$A$2-Persistance!$K$1),Persistance!$B:$B,$A41,Persistance!$D:$D,F$5,Persistance!$A:$A,"Business")*1000</f>
        <v>0</v>
      </c>
      <c r="G41" s="51">
        <f ca="1">SUMIFS(OFFSET(Persistance!$K:$K,0,$A$2-Persistance!$K$1),Persistance!$B:$B,$A41,Persistance!$D:$D,G$5,Persistance!$A:$A,"Business")*1000</f>
        <v>0</v>
      </c>
      <c r="H41" s="51">
        <f ca="1">SUMIFS(OFFSET(Persistance!$K:$K,0,$A$2-Persistance!$K$1),Persistance!$B:$B,$A41,Persistance!$D:$D,H$5,Persistance!$A:$A,"Business")*1000</f>
        <v>0</v>
      </c>
      <c r="I41" s="51">
        <f ca="1">SUMIFS(OFFSET(Persistance!$K:$K,0,$A$2-Persistance!$K$1),Persistance!$B:$B,$A41,Persistance!$D:$D,I$5,Persistance!$A:$A,"Business")*1000</f>
        <v>0</v>
      </c>
      <c r="J41" s="51">
        <f ca="1">SUMIFS(OFFSET(Persistance!$K:$K,0,$A$2-Persistance!$K$1),Persistance!$B:$B,$A41,Persistance!$D:$D,J$5,Persistance!$A:$A,"Business")*1000</f>
        <v>0</v>
      </c>
      <c r="K41" s="51">
        <f ca="1">SUMIFS(OFFSET(Persistance!$K:$K,0,$A$2-Persistance!$K$1),Persistance!$B:$B,$A41,Persistance!$D:$D,K$5,Persistance!$A:$A,"Business")*1000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8</v>
      </c>
      <c r="B42" s="51">
        <f ca="1">SUMIFS(OFFSET(Persistance!$K:$K,0,$A$2-Persistance!$K$1),Persistance!$B:$B,$A42,Persistance!$D:$D,B$5,Persistance!$A:$A,"Business")*1000</f>
        <v>93785</v>
      </c>
      <c r="C42" s="51">
        <f ca="1">SUMIFS(OFFSET(Persistance!$K:$K,0,$A$2-Persistance!$K$1),Persistance!$B:$B,$A42,Persistance!$D:$D,C$5,Persistance!$A:$A,"Business")*1000</f>
        <v>98245.909961840545</v>
      </c>
      <c r="D42" s="51">
        <f ca="1">SUMIFS(OFFSET(Persistance!$K:$K,0,$A$2-Persistance!$K$1),Persistance!$B:$B,$A42,Persistance!$D:$D,D$5,Persistance!$A:$A,"Business")*1000</f>
        <v>0</v>
      </c>
      <c r="E42" s="51">
        <f ca="1">SUMIFS(OFFSET(Persistance!$K:$K,0,$A$2-Persistance!$K$1),Persistance!$B:$B,$A42,Persistance!$D:$D,E$5,Persistance!$A:$A,"Business")*1000</f>
        <v>0</v>
      </c>
      <c r="F42" s="51">
        <f ca="1">SUMIFS(OFFSET(Persistance!$K:$K,0,$A$2-Persistance!$K$1),Persistance!$B:$B,$A42,Persistance!$D:$D,F$5,Persistance!$A:$A,"Business")*1000</f>
        <v>0</v>
      </c>
      <c r="G42" s="51">
        <f ca="1">SUMIFS(OFFSET(Persistance!$K:$K,0,$A$2-Persistance!$K$1),Persistance!$B:$B,$A42,Persistance!$D:$D,G$5,Persistance!$A:$A,"Business")*1000</f>
        <v>0</v>
      </c>
      <c r="H42" s="51">
        <f ca="1">SUMIFS(OFFSET(Persistance!$K:$K,0,$A$2-Persistance!$K$1),Persistance!$B:$B,$A42,Persistance!$D:$D,H$5,Persistance!$A:$A,"Business")*1000</f>
        <v>0</v>
      </c>
      <c r="I42" s="51">
        <f ca="1">SUMIFS(OFFSET(Persistance!$K:$K,0,$A$2-Persistance!$K$1),Persistance!$B:$B,$A42,Persistance!$D:$D,I$5,Persistance!$A:$A,"Business")*1000</f>
        <v>0</v>
      </c>
      <c r="J42" s="51">
        <f ca="1">SUMIFS(OFFSET(Persistance!$K:$K,0,$A$2-Persistance!$K$1),Persistance!$B:$B,$A42,Persistance!$D:$D,J$5,Persistance!$A:$A,"Business")*1000</f>
        <v>0</v>
      </c>
      <c r="K42" s="51">
        <f ca="1">SUMIFS(OFFSET(Persistance!$K:$K,0,$A$2-Persistance!$K$1),Persistance!$B:$B,$A42,Persistance!$D:$D,K$5,Persistance!$A:$A,"Business")*1000</f>
        <v>0</v>
      </c>
      <c r="L42" s="34">
        <f t="shared" ca="1" si="4"/>
        <v>192030.90996184055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57</v>
      </c>
      <c r="B43" s="51">
        <f ca="1">SUMIFS(OFFSET(Persistance!$K:$K,0,$A$2-Persistance!$K$1),Persistance!$B:$B,$A43,Persistance!$D:$D,B$5,Persistance!$A:$A,"Business")*1000</f>
        <v>0</v>
      </c>
      <c r="C43" s="51">
        <f ca="1">SUMIFS(OFFSET(Persistance!$K:$K,0,$A$2-Persistance!$K$1),Persistance!$B:$B,$A43,Persistance!$D:$D,C$5,Persistance!$A:$A,"Business")*1000</f>
        <v>0</v>
      </c>
      <c r="D43" s="51">
        <f ca="1">SUMIFS(OFFSET(Persistance!$K:$K,0,$A$2-Persistance!$K$1),Persistance!$B:$B,$A43,Persistance!$D:$D,D$5,Persistance!$A:$A,"Business")*1000</f>
        <v>0</v>
      </c>
      <c r="E43" s="51">
        <f ca="1">SUMIFS(OFFSET(Persistance!$K:$K,0,$A$2-Persistance!$K$1),Persistance!$B:$B,$A43,Persistance!$D:$D,E$5,Persistance!$A:$A,"Business")*1000</f>
        <v>0</v>
      </c>
      <c r="F43" s="51">
        <f ca="1">SUMIFS(OFFSET(Persistance!$K:$K,0,$A$2-Persistance!$K$1),Persistance!$B:$B,$A43,Persistance!$D:$D,F$5,Persistance!$A:$A,"Business")*1000</f>
        <v>0</v>
      </c>
      <c r="G43" s="51">
        <f ca="1">SUMIFS(OFFSET(Persistance!$K:$K,0,$A$2-Persistance!$K$1),Persistance!$B:$B,$A43,Persistance!$D:$D,G$5,Persistance!$A:$A,"Business")*1000</f>
        <v>0</v>
      </c>
      <c r="H43" s="51">
        <f ca="1">SUMIFS(OFFSET(Persistance!$K:$K,0,$A$2-Persistance!$K$1),Persistance!$B:$B,$A43,Persistance!$D:$D,H$5,Persistance!$A:$A,"Business")*1000</f>
        <v>0</v>
      </c>
      <c r="I43" s="51">
        <f ca="1">SUMIFS(OFFSET(Persistance!$K:$K,0,$A$2-Persistance!$K$1),Persistance!$B:$B,$A43,Persistance!$D:$D,I$5,Persistance!$A:$A,"Business")*1000</f>
        <v>0</v>
      </c>
      <c r="J43" s="51">
        <f ca="1">SUMIFS(OFFSET(Persistance!$K:$K,0,$A$2-Persistance!$K$1),Persistance!$B:$B,$A43,Persistance!$D:$D,J$5,Persistance!$A:$A,"Business")*1000</f>
        <v>0</v>
      </c>
      <c r="K43" s="51">
        <f ca="1">SUMIFS(OFFSET(Persistance!$K:$K,0,$A$2-Persistance!$K$1),Persistance!$B:$B,$A43,Persistance!$D:$D,K$5,Persistance!$A:$A,"Business")*1000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70</v>
      </c>
      <c r="B44" s="51">
        <f ca="1">SUMIFS(OFFSET(Persistance!$K:$K,0,$A$2-Persistance!$K$1),Persistance!$B:$B,$A44,Persistance!$D:$D,B$5,Persistance!$A:$A,"Business")*1000</f>
        <v>0</v>
      </c>
      <c r="C44" s="51">
        <f ca="1">SUMIFS(OFFSET(Persistance!$K:$K,0,$A$2-Persistance!$K$1),Persistance!$B:$B,$A44,Persistance!$D:$D,C$5,Persistance!$A:$A,"Business")*1000</f>
        <v>0</v>
      </c>
      <c r="D44" s="51">
        <f ca="1">SUMIFS(OFFSET(Persistance!$K:$K,0,$A$2-Persistance!$K$1),Persistance!$B:$B,$A44,Persistance!$D:$D,D$5,Persistance!$A:$A,"Business")*1000</f>
        <v>0</v>
      </c>
      <c r="E44" s="51">
        <f ca="1">SUMIFS(OFFSET(Persistance!$K:$K,0,$A$2-Persistance!$K$1),Persistance!$B:$B,$A44,Persistance!$D:$D,E$5,Persistance!$A:$A,"Business")*1000</f>
        <v>0</v>
      </c>
      <c r="F44" s="51">
        <f ca="1">SUMIFS(OFFSET(Persistance!$K:$K,0,$A$2-Persistance!$K$1),Persistance!$B:$B,$A44,Persistance!$D:$D,F$5,Persistance!$A:$A,"Business")*1000</f>
        <v>0</v>
      </c>
      <c r="G44" s="51">
        <f ca="1">SUMIFS(OFFSET(Persistance!$K:$K,0,$A$2-Persistance!$K$1),Persistance!$B:$B,$A44,Persistance!$D:$D,G$5,Persistance!$A:$A,"Business")*1000</f>
        <v>0</v>
      </c>
      <c r="H44" s="51">
        <f ca="1">SUMIFS(OFFSET(Persistance!$K:$K,0,$A$2-Persistance!$K$1),Persistance!$B:$B,$A44,Persistance!$D:$D,H$5,Persistance!$A:$A,"Business")*1000</f>
        <v>0</v>
      </c>
      <c r="I44" s="51">
        <f ca="1">SUMIFS(OFFSET(Persistance!$K:$K,0,$A$2-Persistance!$K$1),Persistance!$B:$B,$A44,Persistance!$D:$D,I$5,Persistance!$A:$A,"Business")*1000</f>
        <v>0</v>
      </c>
      <c r="J44" s="51">
        <f ca="1">SUMIFS(OFFSET(Persistance!$K:$K,0,$A$2-Persistance!$K$1),Persistance!$B:$B,$A44,Persistance!$D:$D,J$5,Persistance!$A:$A,"Business")*1000</f>
        <v>0</v>
      </c>
      <c r="K44" s="51">
        <f ca="1">SUMIFS(OFFSET(Persistance!$K:$K,0,$A$2-Persistance!$K$1),Persistance!$B:$B,$A44,Persistance!$D:$D,K$5,Persistance!$A:$A,"Business")*1000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71</v>
      </c>
      <c r="B45" s="51">
        <f ca="1">SUMIFS(OFFSET(Persistance!$K:$K,0,$A$2-Persistance!$K$1),Persistance!$B:$B,$A45,Persistance!$D:$D,B$5,Persistance!$A:$A,"Business")*1000</f>
        <v>0</v>
      </c>
      <c r="C45" s="51">
        <f ca="1">SUMIFS(OFFSET(Persistance!$K:$K,0,$A$2-Persistance!$K$1),Persistance!$B:$B,$A45,Persistance!$D:$D,C$5,Persistance!$A:$A,"Business")*1000</f>
        <v>0</v>
      </c>
      <c r="D45" s="51">
        <f ca="1">SUMIFS(OFFSET(Persistance!$K:$K,0,$A$2-Persistance!$K$1),Persistance!$B:$B,$A45,Persistance!$D:$D,D$5,Persistance!$A:$A,"Business")*1000</f>
        <v>0</v>
      </c>
      <c r="E45" s="51">
        <f ca="1">SUMIFS(OFFSET(Persistance!$K:$K,0,$A$2-Persistance!$K$1),Persistance!$B:$B,$A45,Persistance!$D:$D,E$5,Persistance!$A:$A,"Business")*1000</f>
        <v>0</v>
      </c>
      <c r="F45" s="51">
        <f ca="1">SUMIFS(OFFSET(Persistance!$K:$K,0,$A$2-Persistance!$K$1),Persistance!$B:$B,$A45,Persistance!$D:$D,F$5,Persistance!$A:$A,"Business")*1000</f>
        <v>0</v>
      </c>
      <c r="G45" s="51">
        <f ca="1">SUMIFS(OFFSET(Persistance!$K:$K,0,$A$2-Persistance!$K$1),Persistance!$B:$B,$A45,Persistance!$D:$D,G$5,Persistance!$A:$A,"Business")*1000</f>
        <v>0</v>
      </c>
      <c r="H45" s="51">
        <f ca="1">SUMIFS(OFFSET(Persistance!$K:$K,0,$A$2-Persistance!$K$1),Persistance!$B:$B,$A45,Persistance!$D:$D,H$5,Persistance!$A:$A,"Business")*1000</f>
        <v>0</v>
      </c>
      <c r="I45" s="51">
        <f ca="1">SUMIFS(OFFSET(Persistance!$K:$K,0,$A$2-Persistance!$K$1),Persistance!$B:$B,$A45,Persistance!$D:$D,I$5,Persistance!$A:$A,"Business")*1000</f>
        <v>0</v>
      </c>
      <c r="J45" s="51">
        <f ca="1">SUMIFS(OFFSET(Persistance!$K:$K,0,$A$2-Persistance!$K$1),Persistance!$B:$B,$A45,Persistance!$D:$D,J$5,Persistance!$A:$A,"Business")*1000</f>
        <v>0</v>
      </c>
      <c r="K45" s="51">
        <f ca="1">SUMIFS(OFFSET(Persistance!$K:$K,0,$A$2-Persistance!$K$1),Persistance!$B:$B,$A45,Persistance!$D:$D,K$5,Persistance!$A:$A,"Business")*1000</f>
        <v>0</v>
      </c>
      <c r="L45" s="34">
        <f t="shared" ca="1" si="4"/>
        <v>0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68</v>
      </c>
      <c r="B46" s="51">
        <f ca="1">SUMIFS(OFFSET(Persistance!$K:$K,0,$A$2-Persistance!$K$1),Persistance!$B:$B,$A46,Persistance!$D:$D,B$5,Persistance!$A:$A,"Business")*1000</f>
        <v>0</v>
      </c>
      <c r="C46" s="51">
        <f ca="1">SUMIFS(OFFSET(Persistance!$K:$K,0,$A$2-Persistance!$K$1),Persistance!$B:$B,$A46,Persistance!$D:$D,C$5,Persistance!$A:$A,"Business")*1000</f>
        <v>0</v>
      </c>
      <c r="D46" s="51">
        <f ca="1">SUMIFS(OFFSET(Persistance!$K:$K,0,$A$2-Persistance!$K$1),Persistance!$B:$B,$A46,Persistance!$D:$D,D$5,Persistance!$A:$A,"Business")*1000</f>
        <v>0</v>
      </c>
      <c r="E46" s="51">
        <f ca="1">SUMIFS(OFFSET(Persistance!$K:$K,0,$A$2-Persistance!$K$1),Persistance!$B:$B,$A46,Persistance!$D:$D,E$5,Persistance!$A:$A,"Business")*1000</f>
        <v>0</v>
      </c>
      <c r="F46" s="51">
        <f ca="1">SUMIFS(OFFSET(Persistance!$K:$K,0,$A$2-Persistance!$K$1),Persistance!$B:$B,$A46,Persistance!$D:$D,F$5,Persistance!$A:$A,"Business")*1000</f>
        <v>0</v>
      </c>
      <c r="G46" s="51">
        <f ca="1">SUMIFS(OFFSET(Persistance!$K:$K,0,$A$2-Persistance!$K$1),Persistance!$B:$B,$A46,Persistance!$D:$D,G$5,Persistance!$A:$A,"Business")*1000</f>
        <v>0</v>
      </c>
      <c r="H46" s="51">
        <f ca="1">SUMIFS(OFFSET(Persistance!$K:$K,0,$A$2-Persistance!$K$1),Persistance!$B:$B,$A46,Persistance!$D:$D,H$5,Persistance!$A:$A,"Business")*1000</f>
        <v>0</v>
      </c>
      <c r="I46" s="51">
        <f ca="1">SUMIFS(OFFSET(Persistance!$K:$K,0,$A$2-Persistance!$K$1),Persistance!$B:$B,$A46,Persistance!$D:$D,I$5,Persistance!$A:$A,"Business")*1000</f>
        <v>0</v>
      </c>
      <c r="J46" s="51">
        <f ca="1">SUMIFS(OFFSET(Persistance!$K:$K,0,$A$2-Persistance!$K$1),Persistance!$B:$B,$A46,Persistance!$D:$D,J$5,Persistance!$A:$A,"Business")*1000</f>
        <v>0</v>
      </c>
      <c r="K46" s="51">
        <f ca="1">SUMIFS(OFFSET(Persistance!$K:$K,0,$A$2-Persistance!$K$1),Persistance!$B:$B,$A46,Persistance!$D:$D,K$5,Persistance!$A:$A,"Business")*1000</f>
        <v>0</v>
      </c>
      <c r="L46" s="34">
        <f t="shared" ca="1" si="4"/>
        <v>0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14</v>
      </c>
      <c r="B47" s="51">
        <f ca="1">SUMIFS(OFFSET(Persistance!$K:$K,0,$A$2-Persistance!$K$1),Persistance!$B:$B,$A47,Persistance!$D:$D,B$5)*1000*'Retrofit Split'!B$2</f>
        <v>170338.15455047225</v>
      </c>
      <c r="C47" s="51">
        <f ca="1">SUMIFS(OFFSET(Persistance!$K:$K,0,$A$2-Persistance!$K$1),Persistance!$B:$B,$A47,Persistance!$D:$D,C$5)*1000*'Retrofit Split'!C$2</f>
        <v>0</v>
      </c>
      <c r="D47" s="51">
        <f ca="1">SUMIFS(OFFSET(Persistance!$K:$K,0,$A$2-Persistance!$K$1),Persistance!$B:$B,$A47,Persistance!$D:$D,D$5)*1000*'Retrofit Split'!D$2</f>
        <v>0</v>
      </c>
      <c r="E47" s="51">
        <f ca="1">SUMIFS(OFFSET(Persistance!$K:$K,0,$A$2-Persistance!$K$1),Persistance!$B:$B,$A47,Persistance!$D:$D,E$5)*1000*'Retrofit Split'!E$2</f>
        <v>0</v>
      </c>
      <c r="F47" s="51">
        <f ca="1">SUMIFS(OFFSET(Persistance!$K:$K,0,$A$2-Persistance!$K$1),Persistance!$B:$B,$A47,Persistance!$D:$D,F$5)*1000*'Retrofit Split'!F$2</f>
        <v>0</v>
      </c>
      <c r="G47" s="51">
        <f ca="1">SUMIFS(OFFSET(Persistance!$K:$K,0,$A$2-Persistance!$K$1),Persistance!$B:$B,$A47,Persistance!$D:$D,G$5)*1000*'Retrofit Split'!G$2</f>
        <v>0</v>
      </c>
      <c r="H47" s="51">
        <f ca="1">SUMIFS(OFFSET(Persistance!$K:$K,0,$A$2-Persistance!$K$1),Persistance!$B:$B,$A47,Persistance!$D:$D,H$5)*1000*'Retrofit Split'!H$2</f>
        <v>0</v>
      </c>
      <c r="I47" s="51">
        <f ca="1">SUMIFS(OFFSET(Persistance!$K:$K,0,$A$2-Persistance!$K$1),Persistance!$B:$B,$A47,Persistance!$D:$D,I$5)*1000*'Retrofit Split'!I$2</f>
        <v>0</v>
      </c>
      <c r="J47" s="51">
        <f ca="1">SUMIFS(OFFSET(Persistance!$K:$K,0,$A$2-Persistance!$K$1),Persistance!$B:$B,$A47,Persistance!$D:$D,J$5)*1000*'Retrofit Split'!J$2</f>
        <v>0</v>
      </c>
      <c r="K47" s="51">
        <f ca="1">SUMIFS(OFFSET(Persistance!$K:$K,0,$A$2-Persistance!$K$1),Persistance!$B:$B,$A47,Persistance!$D:$D,K$5)*1000*'Retrofit Split'!K$2</f>
        <v>0</v>
      </c>
      <c r="L47" s="34">
        <f t="shared" ca="1" si="4"/>
        <v>170338.15455047225</v>
      </c>
      <c r="M47" s="34"/>
      <c r="N47" s="34"/>
      <c r="O47" s="36"/>
      <c r="P47" s="36"/>
      <c r="Q47" s="36"/>
      <c r="R47" s="2"/>
      <c r="S47" s="2"/>
      <c r="T47" s="2"/>
      <c r="U47" s="2"/>
    </row>
    <row r="48" spans="1:21" x14ac:dyDescent="0.25">
      <c r="A48" s="23" t="s">
        <v>72</v>
      </c>
      <c r="B48" s="51">
        <f ca="1">SUMIFS(OFFSET(Persistance!$K:$K,0,$A$2-Persistance!$K$1),Persistance!$B:$B,$A48,Persistance!$D:$D,B$5,Persistance!$A:$A,"Business")*1000</f>
        <v>0</v>
      </c>
      <c r="C48" s="51">
        <f ca="1">SUMIFS(OFFSET(Persistance!$K:$K,0,$A$2-Persistance!$K$1),Persistance!$B:$B,$A48,Persistance!$D:$D,C$5,Persistance!$A:$A,"Business")*1000</f>
        <v>5639.5002500600003</v>
      </c>
      <c r="D48" s="51">
        <f ca="1">SUMIFS(OFFSET(Persistance!$K:$K,0,$A$2-Persistance!$K$1),Persistance!$B:$B,$A48,Persistance!$D:$D,D$5,Persistance!$A:$A,"Business")*1000</f>
        <v>0</v>
      </c>
      <c r="E48" s="51">
        <f ca="1">SUMIFS(OFFSET(Persistance!$K:$K,0,$A$2-Persistance!$K$1),Persistance!$B:$B,$A48,Persistance!$D:$D,E$5,Persistance!$A:$A,"Business")*1000</f>
        <v>0</v>
      </c>
      <c r="F48" s="51">
        <f ca="1">SUMIFS(OFFSET(Persistance!$K:$K,0,$A$2-Persistance!$K$1),Persistance!$B:$B,$A48,Persistance!$D:$D,F$5,Persistance!$A:$A,"Business")*1000</f>
        <v>0</v>
      </c>
      <c r="G48" s="51">
        <f ca="1">SUMIFS(OFFSET(Persistance!$K:$K,0,$A$2-Persistance!$K$1),Persistance!$B:$B,$A48,Persistance!$D:$D,G$5,Persistance!$A:$A,"Business")*1000</f>
        <v>0</v>
      </c>
      <c r="H48" s="51">
        <f ca="1">SUMIFS(OFFSET(Persistance!$K:$K,0,$A$2-Persistance!$K$1),Persistance!$B:$B,$A48,Persistance!$D:$D,H$5,Persistance!$A:$A,"Business")*1000</f>
        <v>0</v>
      </c>
      <c r="I48" s="51">
        <f ca="1">SUMIFS(OFFSET(Persistance!$K:$K,0,$A$2-Persistance!$K$1),Persistance!$B:$B,$A48,Persistance!$D:$D,I$5,Persistance!$A:$A,"Business")*1000</f>
        <v>0</v>
      </c>
      <c r="J48" s="51">
        <f ca="1">SUMIFS(OFFSET(Persistance!$K:$K,0,$A$2-Persistance!$K$1),Persistance!$B:$B,$A48,Persistance!$D:$D,J$5,Persistance!$A:$A,"Business")*1000</f>
        <v>0</v>
      </c>
      <c r="K48" s="51">
        <f ca="1">SUMIFS(OFFSET(Persistance!$K:$K,0,$A$2-Persistance!$K$1),Persistance!$B:$B,$A48,Persistance!$D:$D,K$5,Persistance!$A:$A,"Business")*1000</f>
        <v>0</v>
      </c>
      <c r="L48" s="34">
        <f t="shared" ca="1" si="4"/>
        <v>5639.5002500600003</v>
      </c>
      <c r="M48" s="34"/>
      <c r="N48" s="34"/>
      <c r="O48" s="36"/>
      <c r="P48" s="36"/>
      <c r="Q48" s="36"/>
      <c r="R48" s="2"/>
      <c r="S48" s="2"/>
      <c r="T48" s="2"/>
      <c r="U48" s="2"/>
    </row>
    <row r="49" spans="1:21" x14ac:dyDescent="0.25">
      <c r="A49" s="23" t="s">
        <v>35</v>
      </c>
      <c r="B49" s="51">
        <f ca="1">SUMIFS(OFFSET(Persistance!$K:$K,0,$A$2-Persistance!$K$1),Persistance!$B:$B,$A49,Persistance!$D:$D,B$5,Persistance!$A:$A,"Business")*1000</f>
        <v>0</v>
      </c>
      <c r="C49" s="51">
        <f ca="1">SUMIFS(OFFSET(Persistance!$K:$K,0,$A$2-Persistance!$K$1),Persistance!$B:$B,$A49,Persistance!$D:$D,C$5,Persistance!$A:$A,"Business")*1000</f>
        <v>0</v>
      </c>
      <c r="D49" s="51">
        <f ca="1">SUMIFS(OFFSET(Persistance!$K:$K,0,$A$2-Persistance!$K$1),Persistance!$B:$B,$A49,Persistance!$D:$D,D$5,Persistance!$A:$A,"Business")*1000</f>
        <v>0</v>
      </c>
      <c r="E49" s="51">
        <f ca="1">SUMIFS(OFFSET(Persistance!$K:$K,0,$A$2-Persistance!$K$1),Persistance!$B:$B,$A49,Persistance!$D:$D,E$5,Persistance!$A:$A,"Business")*1000</f>
        <v>0</v>
      </c>
      <c r="F49" s="51">
        <f ca="1">SUMIFS(OFFSET(Persistance!$K:$K,0,$A$2-Persistance!$K$1),Persistance!$B:$B,$A49,Persistance!$D:$D,F$5,Persistance!$A:$A,"Business")*1000</f>
        <v>0</v>
      </c>
      <c r="G49" s="51">
        <f ca="1">SUMIFS(OFFSET(Persistance!$K:$K,0,$A$2-Persistance!$K$1),Persistance!$B:$B,$A49,Persistance!$D:$D,G$5,Persistance!$A:$A,"Business")*1000</f>
        <v>0</v>
      </c>
      <c r="H49" s="51">
        <f ca="1">SUMIFS(OFFSET(Persistance!$K:$K,0,$A$2-Persistance!$K$1),Persistance!$B:$B,$A49,Persistance!$D:$D,H$5,Persistance!$A:$A,"Business")*1000</f>
        <v>0</v>
      </c>
      <c r="I49" s="51">
        <f ca="1">SUMIFS(OFFSET(Persistance!$K:$K,0,$A$2-Persistance!$K$1),Persistance!$B:$B,$A49,Persistance!$D:$D,I$5,Persistance!$A:$A,"Business")*1000</f>
        <v>0</v>
      </c>
      <c r="J49" s="51">
        <f ca="1">SUMIFS(OFFSET(Persistance!$K:$K,0,$A$2-Persistance!$K$1),Persistance!$B:$B,$A49,Persistance!$D:$D,J$5,Persistance!$A:$A,"Business")*1000</f>
        <v>0</v>
      </c>
      <c r="K49" s="51">
        <f ca="1">SUMIFS(OFFSET(Persistance!$K:$K,0,$A$2-Persistance!$K$1),Persistance!$B:$B,$A49,Persistance!$D:$D,K$5,Persistance!$A:$A,"Business")*1000</f>
        <v>0</v>
      </c>
      <c r="L49" s="34">
        <f t="shared" ca="1" si="4"/>
        <v>0</v>
      </c>
      <c r="M49" s="34"/>
      <c r="N49" s="34"/>
      <c r="O49" s="36"/>
      <c r="P49" s="36"/>
      <c r="Q49" s="36"/>
      <c r="R49" s="2"/>
      <c r="S49" s="28" t="s">
        <v>48</v>
      </c>
      <c r="T49" s="28" t="s">
        <v>17</v>
      </c>
      <c r="U49" s="2" t="s">
        <v>49</v>
      </c>
    </row>
    <row r="50" spans="1:21" x14ac:dyDescent="0.25">
      <c r="B50" s="29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6"/>
      <c r="P50" s="36"/>
      <c r="Q50" s="36"/>
      <c r="R50" s="2"/>
      <c r="S50" s="29">
        <f ca="1">$A$2</f>
        <v>2012</v>
      </c>
      <c r="T50" s="50">
        <f ca="1">AVERAGEIFS(Rates!E:E,Rates!F:F,'2012'!S50,Rates!G:G,"Business")</f>
        <v>8.9999999999999993E-3</v>
      </c>
      <c r="U50" s="30">
        <f ca="1">AVERAGEIFS(Rates!B:B,Rates!F:F,'2012'!S50,Rates!G:G,"Business")</f>
        <v>41091</v>
      </c>
    </row>
    <row r="51" spans="1:21" x14ac:dyDescent="0.25">
      <c r="A51" t="s">
        <v>10</v>
      </c>
      <c r="B51" s="64">
        <f t="shared" ref="B51:L51" ca="1" si="6">SUM(B32:B50)</f>
        <v>544272.45208708104</v>
      </c>
      <c r="C51" s="64">
        <f t="shared" ca="1" si="6"/>
        <v>329440.35870498884</v>
      </c>
      <c r="D51" s="64">
        <f t="shared" ca="1" si="6"/>
        <v>0</v>
      </c>
      <c r="E51" s="64">
        <f t="shared" ca="1" si="6"/>
        <v>0</v>
      </c>
      <c r="F51" s="64">
        <f t="shared" ca="1" si="6"/>
        <v>0</v>
      </c>
      <c r="G51" s="64">
        <f t="shared" ca="1" si="6"/>
        <v>0</v>
      </c>
      <c r="H51" s="64">
        <f t="shared" ca="1" si="6"/>
        <v>0</v>
      </c>
      <c r="I51" s="64">
        <f t="shared" ca="1" si="6"/>
        <v>0</v>
      </c>
      <c r="J51" s="64">
        <f t="shared" ca="1" si="6"/>
        <v>0</v>
      </c>
      <c r="K51" s="64">
        <f t="shared" ca="1" si="6"/>
        <v>0</v>
      </c>
      <c r="L51" s="64">
        <f t="shared" ca="1" si="6"/>
        <v>873712.81079206988</v>
      </c>
      <c r="M51" s="64">
        <f>Summary!$H$7</f>
        <v>232046</v>
      </c>
      <c r="N51" s="64">
        <f ca="1">(((MONTH(U50)-1)/12)*T51)+(((12-(MONTH(U50)-1))/12)*T50)</f>
        <v>8.199999999999999E-3</v>
      </c>
      <c r="O51" s="64">
        <f ca="1">ROUND(L51*N51,2)</f>
        <v>7164.45</v>
      </c>
      <c r="P51" s="64">
        <f ca="1">ROUND(M51*N51,2)</f>
        <v>1902.78</v>
      </c>
      <c r="Q51" s="64">
        <f ca="1">+O51-P51</f>
        <v>5261.67</v>
      </c>
      <c r="R51" s="2"/>
      <c r="S51" s="29">
        <f ca="1">S50-1</f>
        <v>2011</v>
      </c>
      <c r="T51" s="50">
        <f ca="1">AVERAGEIFS(Rates!E:E,Rates!F:F,'2012'!S51,Rates!G:G,"Business")</f>
        <v>7.4000000000000003E-3</v>
      </c>
      <c r="U51" s="2"/>
    </row>
    <row r="52" spans="1:21" x14ac:dyDescent="0.25">
      <c r="B52" s="29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43</v>
      </c>
      <c r="B53" s="51">
        <f ca="1">SUMIFS(OFFSET(Persistance!$F:$F,0,$A$2-Persistance!$K$1),Persistance!$B:$B,'2012'!$A53,Persistance!$D:$D,'2012'!B$5,Persistance!$A:$A,"Industrial")*1000</f>
        <v>0</v>
      </c>
      <c r="C53" s="51">
        <f ca="1">SUMIFS(OFFSET(Persistance!$F:$F,0,$A$2-Persistance!$K$1),Persistance!$B:$B,'2012'!$A53,Persistance!$D:$D,'2012'!C$5,Persistance!$A:$A,"Industrial")*1000</f>
        <v>152.77690749999999</v>
      </c>
      <c r="D53" s="51">
        <f ca="1">SUMIFS(OFFSET(Persistance!$F:$F,0,$A$2-Persistance!$K$1),Persistance!$B:$B,'2012'!$A53,Persistance!$D:$D,'2012'!D$5,Persistance!$A:$A,"Industrial")*1000</f>
        <v>0</v>
      </c>
      <c r="E53" s="51">
        <f ca="1">SUMIFS(OFFSET(Persistance!$F:$F,0,$A$2-Persistance!$K$1),Persistance!$B:$B,'2012'!$A53,Persistance!$D:$D,'2012'!E$5,Persistance!$A:$A,"Industrial")*1000</f>
        <v>0</v>
      </c>
      <c r="F53" s="51">
        <f ca="1">SUMIFS(OFFSET(Persistance!$F:$F,0,$A$2-Persistance!$K$1),Persistance!$B:$B,'2012'!$A53,Persistance!$D:$D,'2012'!F$5,Persistance!$A:$A,"Industrial")*1000</f>
        <v>0</v>
      </c>
      <c r="G53" s="51">
        <f ca="1">SUMIFS(OFFSET(Persistance!$F:$F,0,$A$2-Persistance!$K$1),Persistance!$B:$B,'2012'!$A53,Persistance!$D:$D,'2012'!G$5,Persistance!$A:$A,"Industrial")*1000</f>
        <v>0</v>
      </c>
      <c r="H53" s="51">
        <f ca="1">SUMIFS(OFFSET(Persistance!$F:$F,0,$A$2-Persistance!$K$1),Persistance!$B:$B,'2012'!$A53,Persistance!$D:$D,'2012'!H$5,Persistance!$A:$A,"Industrial")*1000</f>
        <v>0</v>
      </c>
      <c r="I53" s="51">
        <f ca="1">SUMIFS(OFFSET(Persistance!$F:$F,0,$A$2-Persistance!$K$1),Persistance!$B:$B,'2012'!$A53,Persistance!$D:$D,'2012'!I$5,Persistance!$A:$A,"Industrial")*1000</f>
        <v>0</v>
      </c>
      <c r="J53" s="51">
        <f ca="1">SUMIFS(OFFSET(Persistance!$F:$F,0,$A$2-Persistance!$K$1),Persistance!$B:$B,'2012'!$A53,Persistance!$D:$D,'2012'!J$5,Persistance!$A:$A,"Industrial")*1000</f>
        <v>0</v>
      </c>
      <c r="K53" s="51">
        <f ca="1">SUMIFS(OFFSET(Persistance!$F:$F,0,$A$2-Persistance!$K$1),Persistance!$B:$B,'2012'!$A53,Persistance!$D:$D,'2012'!K$5,Persistance!$A:$A,"Industrial")*1000</f>
        <v>0</v>
      </c>
      <c r="L53" s="34">
        <v>0</v>
      </c>
      <c r="M53" s="52" t="s">
        <v>87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t="s">
        <v>41</v>
      </c>
      <c r="B54" s="51">
        <f ca="1">SUMIFS(OFFSET(Persistance!$F:$F,0,$A$2-Persistance!$K$1),Persistance!$B:$B,'2012'!$A54,Persistance!$D:$D,'2012'!B$5,Persistance!$A:$A,"Industrial")*1000</f>
        <v>0</v>
      </c>
      <c r="C54" s="51">
        <f ca="1">SUMIFS(OFFSET(Persistance!$F:$F,0,$A$2-Persistance!$K$1),Persistance!$B:$B,'2012'!$A54,Persistance!$D:$D,'2012'!C$5,Persistance!$A:$A,"Industrial")*1000</f>
        <v>0</v>
      </c>
      <c r="D54" s="51">
        <f ca="1">SUMIFS(OFFSET(Persistance!$F:$F,0,$A$2-Persistance!$K$1),Persistance!$B:$B,'2012'!$A54,Persistance!$D:$D,'2012'!D$5,Persistance!$A:$A,"Industrial")*1000</f>
        <v>0</v>
      </c>
      <c r="E54" s="51">
        <f ca="1">SUMIFS(OFFSET(Persistance!$F:$F,0,$A$2-Persistance!$K$1),Persistance!$B:$B,'2012'!$A54,Persistance!$D:$D,'2012'!E$5,Persistance!$A:$A,"Industrial")*1000</f>
        <v>0</v>
      </c>
      <c r="F54" s="51">
        <f ca="1">SUMIFS(OFFSET(Persistance!$F:$F,0,$A$2-Persistance!$K$1),Persistance!$B:$B,'2012'!$A54,Persistance!$D:$D,'2012'!F$5,Persistance!$A:$A,"Industrial")*1000</f>
        <v>0</v>
      </c>
      <c r="G54" s="51">
        <f ca="1">SUMIFS(OFFSET(Persistance!$F:$F,0,$A$2-Persistance!$K$1),Persistance!$B:$B,'2012'!$A54,Persistance!$D:$D,'2012'!G$5,Persistance!$A:$A,"Industrial")*1000</f>
        <v>0</v>
      </c>
      <c r="H54" s="51">
        <f ca="1">SUMIFS(OFFSET(Persistance!$F:$F,0,$A$2-Persistance!$K$1),Persistance!$B:$B,'2012'!$A54,Persistance!$D:$D,'2012'!H$5,Persistance!$A:$A,"Industrial")*1000</f>
        <v>0</v>
      </c>
      <c r="I54" s="51">
        <f ca="1">SUMIFS(OFFSET(Persistance!$F:$F,0,$A$2-Persistance!$K$1),Persistance!$B:$B,'2012'!$A54,Persistance!$D:$D,'2012'!I$5,Persistance!$A:$A,"Industrial")*1000</f>
        <v>0</v>
      </c>
      <c r="J54" s="51">
        <f ca="1">SUMIFS(OFFSET(Persistance!$F:$F,0,$A$2-Persistance!$K$1),Persistance!$B:$B,'2012'!$A54,Persistance!$D:$D,'2012'!J$5,Persistance!$A:$A,"Industrial")*1000</f>
        <v>0</v>
      </c>
      <c r="K54" s="51">
        <f ca="1">SUMIFS(OFFSET(Persistance!$F:$F,0,$A$2-Persistance!$K$1),Persistance!$B:$B,'2012'!$A54,Persistance!$D:$D,'2012'!K$5,Persistance!$A:$A,"Industrial")*1000</f>
        <v>0</v>
      </c>
      <c r="L54" s="34">
        <v>0</v>
      </c>
      <c r="M54" s="52" t="s">
        <v>87</v>
      </c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t="s">
        <v>58</v>
      </c>
      <c r="B55" s="51">
        <f ca="1">SUMIFS(OFFSET(Persistance!$F:$F,0,$A$2-Persistance!$K$1),Persistance!$B:$B,'2012'!$A55,Persistance!$D:$D,'2012'!B$5,Persistance!$A:$A,"Industrial")*1000</f>
        <v>0</v>
      </c>
      <c r="C55" s="51">
        <f ca="1">SUMIFS(OFFSET(Persistance!$F:$F,0,$A$2-Persistance!$K$1),Persistance!$B:$B,'2012'!$A55,Persistance!$D:$D,'2012'!C$5,Persistance!$A:$A,"Industrial")*1000</f>
        <v>0</v>
      </c>
      <c r="D55" s="51">
        <f ca="1">SUMIFS(OFFSET(Persistance!$F:$F,0,$A$2-Persistance!$K$1),Persistance!$B:$B,'2012'!$A55,Persistance!$D:$D,'2012'!D$5,Persistance!$A:$A,"Industrial")*1000</f>
        <v>0</v>
      </c>
      <c r="E55" s="51">
        <f ca="1">SUMIFS(OFFSET(Persistance!$F:$F,0,$A$2-Persistance!$K$1),Persistance!$B:$B,'2012'!$A55,Persistance!$D:$D,'2012'!E$5,Persistance!$A:$A,"Industrial")*1000</f>
        <v>0</v>
      </c>
      <c r="F55" s="51">
        <f ca="1">SUMIFS(OFFSET(Persistance!$F:$F,0,$A$2-Persistance!$K$1),Persistance!$B:$B,'2012'!$A55,Persistance!$D:$D,'2012'!F$5,Persistance!$A:$A,"Industrial")*1000</f>
        <v>0</v>
      </c>
      <c r="G55" s="51">
        <f ca="1">SUMIFS(OFFSET(Persistance!$F:$F,0,$A$2-Persistance!$K$1),Persistance!$B:$B,'2012'!$A55,Persistance!$D:$D,'2012'!G$5,Persistance!$A:$A,"Industrial")*1000</f>
        <v>0</v>
      </c>
      <c r="H55" s="51">
        <f ca="1">SUMIFS(OFFSET(Persistance!$F:$F,0,$A$2-Persistance!$K$1),Persistance!$B:$B,'2012'!$A55,Persistance!$D:$D,'2012'!H$5,Persistance!$A:$A,"Industrial")*1000</f>
        <v>0</v>
      </c>
      <c r="I55" s="51">
        <f ca="1">SUMIFS(OFFSET(Persistance!$F:$F,0,$A$2-Persistance!$K$1),Persistance!$B:$B,'2012'!$A55,Persistance!$D:$D,'2012'!I$5,Persistance!$A:$A,"Industrial")*1000</f>
        <v>0</v>
      </c>
      <c r="J55" s="51">
        <f ca="1">SUMIFS(OFFSET(Persistance!$F:$F,0,$A$2-Persistance!$K$1),Persistance!$B:$B,'2012'!$A55,Persistance!$D:$D,'2012'!J$5,Persistance!$A:$A,"Industrial")*1000</f>
        <v>0</v>
      </c>
      <c r="K55" s="51">
        <f ca="1">SUMIFS(OFFSET(Persistance!$F:$F,0,$A$2-Persistance!$K$1),Persistance!$B:$B,'2012'!$A55,Persistance!$D:$D,'2012'!K$5,Persistance!$A:$A,"Industrial")*1000</f>
        <v>0</v>
      </c>
      <c r="L55" s="34">
        <f ca="1">SUM(B55:K55)*3</f>
        <v>0</v>
      </c>
      <c r="M55" s="52" t="s">
        <v>88</v>
      </c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t="s">
        <v>55</v>
      </c>
      <c r="B56" s="51">
        <f ca="1">SUMIFS(OFFSET(Persistance!$F:$F,0,$A$2-Persistance!$K$1),Persistance!$B:$B,'2012'!$A56,Persistance!$D:$D,'2012'!B$5,Persistance!$A:$A,"Industrial")*1000</f>
        <v>0</v>
      </c>
      <c r="C56" s="51">
        <f ca="1">SUMIFS(OFFSET(Persistance!$F:$F,0,$A$2-Persistance!$K$1),Persistance!$B:$B,'2012'!$A56,Persistance!$D:$D,'2012'!C$5,Persistance!$A:$A,"Industrial")*1000</f>
        <v>0</v>
      </c>
      <c r="D56" s="51">
        <f ca="1">SUMIFS(OFFSET(Persistance!$F:$F,0,$A$2-Persistance!$K$1),Persistance!$B:$B,'2012'!$A56,Persistance!$D:$D,'2012'!D$5,Persistance!$A:$A,"Industrial")*1000</f>
        <v>0</v>
      </c>
      <c r="E56" s="51">
        <f ca="1">SUMIFS(OFFSET(Persistance!$F:$F,0,$A$2-Persistance!$K$1),Persistance!$B:$B,'2012'!$A56,Persistance!$D:$D,'2012'!E$5,Persistance!$A:$A,"Industrial")*1000</f>
        <v>0</v>
      </c>
      <c r="F56" s="51">
        <f ca="1">SUMIFS(OFFSET(Persistance!$F:$F,0,$A$2-Persistance!$K$1),Persistance!$B:$B,'2012'!$A56,Persistance!$D:$D,'2012'!F$5,Persistance!$A:$A,"Industrial")*1000</f>
        <v>0</v>
      </c>
      <c r="G56" s="51">
        <f ca="1">SUMIFS(OFFSET(Persistance!$F:$F,0,$A$2-Persistance!$K$1),Persistance!$B:$B,'2012'!$A56,Persistance!$D:$D,'2012'!G$5,Persistance!$A:$A,"Industrial")*1000</f>
        <v>0</v>
      </c>
      <c r="H56" s="51">
        <f ca="1">SUMIFS(OFFSET(Persistance!$F:$F,0,$A$2-Persistance!$K$1),Persistance!$B:$B,'2012'!$A56,Persistance!$D:$D,'2012'!H$5,Persistance!$A:$A,"Industrial")*1000</f>
        <v>0</v>
      </c>
      <c r="I56" s="51">
        <f ca="1">SUMIFS(OFFSET(Persistance!$F:$F,0,$A$2-Persistance!$K$1),Persistance!$B:$B,'2012'!$A56,Persistance!$D:$D,'2012'!I$5,Persistance!$A:$A,"Industrial")*1000</f>
        <v>0</v>
      </c>
      <c r="J56" s="51">
        <f ca="1">SUMIFS(OFFSET(Persistance!$F:$F,0,$A$2-Persistance!$K$1),Persistance!$B:$B,'2012'!$A56,Persistance!$D:$D,'2012'!J$5,Persistance!$A:$A,"Industrial")*1000</f>
        <v>0</v>
      </c>
      <c r="K56" s="51">
        <f ca="1">SUMIFS(OFFSET(Persistance!$F:$F,0,$A$2-Persistance!$K$1),Persistance!$B:$B,'2012'!$A56,Persistance!$D:$D,'2012'!K$5,Persistance!$A:$A,"Industrial")*1000</f>
        <v>0</v>
      </c>
      <c r="L56" s="34">
        <f t="shared" ref="L56" ca="1" si="7">SUM(B56:K56)*12</f>
        <v>0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t="s">
        <v>102</v>
      </c>
      <c r="B57" s="51">
        <f ca="1">SUMIFS(OFFSET(Persistance!$F:$F,0,$A$2-Persistance!$K$1),Persistance!$B:$B,'2012'!$A57,Persistance!$D:$D,'2012'!B$5,Persistance!$A:$A,"Industrial")*1000</f>
        <v>0</v>
      </c>
      <c r="C57" s="51">
        <f ca="1">SUMIFS(OFFSET(Persistance!$F:$F,0,$A$2-Persistance!$K$1),Persistance!$B:$B,'2012'!$A57,Persistance!$D:$D,'2012'!C$5,Persistance!$A:$A,"Industrial")*1000</f>
        <v>0</v>
      </c>
      <c r="D57" s="51">
        <f ca="1">SUMIFS(OFFSET(Persistance!$F:$F,0,$A$2-Persistance!$K$1),Persistance!$B:$B,'2012'!$A57,Persistance!$D:$D,'2012'!D$5,Persistance!$A:$A,"Industrial")*1000</f>
        <v>0</v>
      </c>
      <c r="E57" s="51">
        <f ca="1">SUMIFS(OFFSET(Persistance!$F:$F,0,$A$2-Persistance!$K$1),Persistance!$B:$B,'2012'!$A57,Persistance!$D:$D,'2012'!E$5,Persistance!$A:$A,"Industrial")*1000</f>
        <v>0</v>
      </c>
      <c r="F57" s="51">
        <f ca="1">SUMIFS(OFFSET(Persistance!$F:$F,0,$A$2-Persistance!$K$1),Persistance!$B:$B,'2012'!$A57,Persistance!$D:$D,'2012'!F$5,Persistance!$A:$A,"Industrial")*1000</f>
        <v>0</v>
      </c>
      <c r="G57" s="51">
        <f ca="1">SUMIFS(OFFSET(Persistance!$F:$F,0,$A$2-Persistance!$K$1),Persistance!$B:$B,'2012'!$A57,Persistance!$D:$D,'2012'!G$5,Persistance!$A:$A,"Industrial")*1000</f>
        <v>0</v>
      </c>
      <c r="H57" s="51">
        <f ca="1">SUMIFS(OFFSET(Persistance!$F:$F,0,$A$2-Persistance!$K$1),Persistance!$B:$B,'2012'!$A57,Persistance!$D:$D,'2012'!H$5,Persistance!$A:$A,"Industrial")*1000</f>
        <v>0</v>
      </c>
      <c r="I57" s="51">
        <f ca="1">SUMIFS(OFFSET(Persistance!$F:$F,0,$A$2-Persistance!$K$1),Persistance!$B:$B,'2012'!$A57,Persistance!$D:$D,'2012'!I$5,Persistance!$A:$A,"Industrial")*1000</f>
        <v>0</v>
      </c>
      <c r="J57" s="51">
        <f ca="1">SUMIFS(OFFSET(Persistance!$F:$F,0,$A$2-Persistance!$K$1),Persistance!$B:$B,'2012'!$A57,Persistance!$D:$D,'2012'!J$5,Persistance!$A:$A,"Industrial")*1000</f>
        <v>0</v>
      </c>
      <c r="K57" s="51">
        <f ca="1">SUMIFS(OFFSET(Persistance!$F:$F,0,$A$2-Persistance!$K$1),Persistance!$B:$B,'2012'!$A57,Persistance!$D:$D,'2012'!K$5,Persistance!$A:$A,"Industrial")*1000</f>
        <v>0</v>
      </c>
      <c r="L57" s="34">
        <f t="shared" ref="L57" ca="1" si="8">SUM(B57:K57)*12</f>
        <v>0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63</v>
      </c>
      <c r="B58" s="51">
        <f ca="1">SUMIFS(OFFSET(Persistance!$F:$F,0,$A$2-Persistance!$K$1),Persistance!$B:$B,'2012'!$A58,Persistance!$D:$D,'2012'!B$5,Persistance!$A:$A,"Industrial")*1000</f>
        <v>0</v>
      </c>
      <c r="C58" s="51">
        <f ca="1">SUMIFS(OFFSET(Persistance!$F:$F,0,$A$2-Persistance!$K$1),Persistance!$B:$B,'2012'!$A58,Persistance!$D:$D,'2012'!C$5,Persistance!$A:$A,"Industrial")*1000</f>
        <v>0</v>
      </c>
      <c r="D58" s="51">
        <f ca="1">SUMIFS(OFFSET(Persistance!$F:$F,0,$A$2-Persistance!$K$1),Persistance!$B:$B,'2012'!$A58,Persistance!$D:$D,'2012'!D$5,Persistance!$A:$A,"Industrial")*1000</f>
        <v>0</v>
      </c>
      <c r="E58" s="51">
        <f ca="1">SUMIFS(OFFSET(Persistance!$F:$F,0,$A$2-Persistance!$K$1),Persistance!$B:$B,'2012'!$A58,Persistance!$D:$D,'2012'!E$5,Persistance!$A:$A,"Industrial")*1000</f>
        <v>0</v>
      </c>
      <c r="F58" s="51">
        <f ca="1">SUMIFS(OFFSET(Persistance!$F:$F,0,$A$2-Persistance!$K$1),Persistance!$B:$B,'2012'!$A58,Persistance!$D:$D,'2012'!F$5,Persistance!$A:$A,"Industrial")*1000</f>
        <v>0</v>
      </c>
      <c r="G58" s="51">
        <f ca="1">SUMIFS(OFFSET(Persistance!$F:$F,0,$A$2-Persistance!$K$1),Persistance!$B:$B,'2012'!$A58,Persistance!$D:$D,'2012'!G$5,Persistance!$A:$A,"Industrial")*1000</f>
        <v>0</v>
      </c>
      <c r="H58" s="51">
        <f ca="1">SUMIFS(OFFSET(Persistance!$F:$F,0,$A$2-Persistance!$K$1),Persistance!$B:$B,'2012'!$A58,Persistance!$D:$D,'2012'!H$5,Persistance!$A:$A,"Industrial")*1000</f>
        <v>0</v>
      </c>
      <c r="I58" s="51">
        <f ca="1">SUMIFS(OFFSET(Persistance!$F:$F,0,$A$2-Persistance!$K$1),Persistance!$B:$B,'2012'!$A58,Persistance!$D:$D,'2012'!I$5,Persistance!$A:$A,"Industrial")*1000</f>
        <v>0</v>
      </c>
      <c r="J58" s="51">
        <f ca="1">SUMIFS(OFFSET(Persistance!$F:$F,0,$A$2-Persistance!$K$1),Persistance!$B:$B,'2012'!$A58,Persistance!$D:$D,'2012'!J$5,Persistance!$A:$A,"Industrial")*1000</f>
        <v>0</v>
      </c>
      <c r="K58" s="51">
        <f ca="1">SUMIFS(OFFSET(Persistance!$F:$F,0,$A$2-Persistance!$K$1),Persistance!$B:$B,'2012'!$A58,Persistance!$D:$D,'2012'!K$5,Persistance!$A:$A,"Industrial")*1000</f>
        <v>0</v>
      </c>
      <c r="L58" s="34">
        <f ca="1">SUM(B58:K58)*12</f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8</v>
      </c>
      <c r="B59" s="51">
        <f ca="1">SUMIFS(OFFSET(Persistance!$F:$F,0,$A$2-Persistance!$K$1),Persistance!$B:$B,'2012'!$A59,Persistance!$D:$D,'2012'!B$5,Persistance!$A:$A,"Industrial")*1000</f>
        <v>0</v>
      </c>
      <c r="C59" s="51">
        <f ca="1">SUMIFS(OFFSET(Persistance!$F:$F,0,$A$2-Persistance!$K$1),Persistance!$B:$B,'2012'!$A59,Persistance!$D:$D,'2012'!C$5,Persistance!$A:$A,"Industrial")*1000</f>
        <v>0</v>
      </c>
      <c r="D59" s="51">
        <f ca="1">SUMIFS(OFFSET(Persistance!$F:$F,0,$A$2-Persistance!$K$1),Persistance!$B:$B,'2012'!$A59,Persistance!$D:$D,'2012'!D$5,Persistance!$A:$A,"Industrial")*1000</f>
        <v>0</v>
      </c>
      <c r="E59" s="51">
        <f ca="1">SUMIFS(OFFSET(Persistance!$F:$F,0,$A$2-Persistance!$K$1),Persistance!$B:$B,'2012'!$A59,Persistance!$D:$D,'2012'!E$5,Persistance!$A:$A,"Industrial")*1000</f>
        <v>0</v>
      </c>
      <c r="F59" s="51">
        <f ca="1">SUMIFS(OFFSET(Persistance!$F:$F,0,$A$2-Persistance!$K$1),Persistance!$B:$B,'2012'!$A59,Persistance!$D:$D,'2012'!F$5,Persistance!$A:$A,"Industrial")*1000</f>
        <v>0</v>
      </c>
      <c r="G59" s="51">
        <f ca="1">SUMIFS(OFFSET(Persistance!$F:$F,0,$A$2-Persistance!$K$1),Persistance!$B:$B,'2012'!$A59,Persistance!$D:$D,'2012'!G$5,Persistance!$A:$A,"Industrial")*1000</f>
        <v>0</v>
      </c>
      <c r="H59" s="51">
        <f ca="1">SUMIFS(OFFSET(Persistance!$F:$F,0,$A$2-Persistance!$K$1),Persistance!$B:$B,'2012'!$A59,Persistance!$D:$D,'2012'!H$5,Persistance!$A:$A,"Industrial")*1000</f>
        <v>0</v>
      </c>
      <c r="I59" s="51">
        <f ca="1">SUMIFS(OFFSET(Persistance!$F:$F,0,$A$2-Persistance!$K$1),Persistance!$B:$B,'2012'!$A59,Persistance!$D:$D,'2012'!I$5,Persistance!$A:$A,"Industrial")*1000</f>
        <v>0</v>
      </c>
      <c r="J59" s="51">
        <f ca="1">SUMIFS(OFFSET(Persistance!$F:$F,0,$A$2-Persistance!$K$1),Persistance!$B:$B,'2012'!$A59,Persistance!$D:$D,'2012'!J$5,Persistance!$A:$A,"Industrial")*1000</f>
        <v>0</v>
      </c>
      <c r="K59" s="51">
        <f ca="1">SUMIFS(OFFSET(Persistance!$F:$F,0,$A$2-Persistance!$K$1),Persistance!$B:$B,'2012'!$A59,Persistance!$D:$D,'2012'!K$5,Persistance!$A:$A,"Industrial")*1000</f>
        <v>0</v>
      </c>
      <c r="L59" s="34">
        <f ca="1">SUM(B59:K59)*12</f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60</v>
      </c>
      <c r="B60" s="51">
        <f ca="1">SUMIFS(OFFSET(Persistance!$F:$F,0,$A$2-Persistance!$K$1),Persistance!$B:$B,'2012'!$A60,Persistance!$D:$D,'2012'!B$5,Persistance!$A:$A,"Industrial")*1000</f>
        <v>0</v>
      </c>
      <c r="C60" s="51">
        <f ca="1">SUMIFS(OFFSET(Persistance!$F:$F,0,$A$2-Persistance!$K$1),Persistance!$B:$B,'2012'!$A60,Persistance!$D:$D,'2012'!C$5,Persistance!$A:$A,"Industrial")*1000</f>
        <v>0</v>
      </c>
      <c r="D60" s="51">
        <f ca="1">SUMIFS(OFFSET(Persistance!$F:$F,0,$A$2-Persistance!$K$1),Persistance!$B:$B,'2012'!$A60,Persistance!$D:$D,'2012'!D$5,Persistance!$A:$A,"Industrial")*1000</f>
        <v>0</v>
      </c>
      <c r="E60" s="51">
        <f ca="1">SUMIFS(OFFSET(Persistance!$F:$F,0,$A$2-Persistance!$K$1),Persistance!$B:$B,'2012'!$A60,Persistance!$D:$D,'2012'!E$5,Persistance!$A:$A,"Industrial")*1000</f>
        <v>0</v>
      </c>
      <c r="F60" s="51">
        <f ca="1">SUMIFS(OFFSET(Persistance!$F:$F,0,$A$2-Persistance!$K$1),Persistance!$B:$B,'2012'!$A60,Persistance!$D:$D,'2012'!F$5,Persistance!$A:$A,"Industrial")*1000</f>
        <v>0</v>
      </c>
      <c r="G60" s="51">
        <f ca="1">SUMIFS(OFFSET(Persistance!$F:$F,0,$A$2-Persistance!$K$1),Persistance!$B:$B,'2012'!$A60,Persistance!$D:$D,'2012'!G$5,Persistance!$A:$A,"Industrial")*1000</f>
        <v>0</v>
      </c>
      <c r="H60" s="51">
        <f ca="1">SUMIFS(OFFSET(Persistance!$F:$F,0,$A$2-Persistance!$K$1),Persistance!$B:$B,'2012'!$A60,Persistance!$D:$D,'2012'!H$5,Persistance!$A:$A,"Industrial")*1000</f>
        <v>0</v>
      </c>
      <c r="I60" s="51">
        <f ca="1">SUMIFS(OFFSET(Persistance!$F:$F,0,$A$2-Persistance!$K$1),Persistance!$B:$B,'2012'!$A60,Persistance!$D:$D,'2012'!I$5,Persistance!$A:$A,"Industrial")*1000</f>
        <v>0</v>
      </c>
      <c r="J60" s="51">
        <f ca="1">SUMIFS(OFFSET(Persistance!$F:$F,0,$A$2-Persistance!$K$1),Persistance!$B:$B,'2012'!$A60,Persistance!$D:$D,'2012'!J$5,Persistance!$A:$A,"Industrial")*1000</f>
        <v>0</v>
      </c>
      <c r="K60" s="51">
        <f ca="1">SUMIFS(OFFSET(Persistance!$F:$F,0,$A$2-Persistance!$K$1),Persistance!$B:$B,'2012'!$A60,Persistance!$D:$D,'2012'!K$5,Persistance!$A:$A,"Industrial")*1000</f>
        <v>0</v>
      </c>
      <c r="L60" s="34">
        <f t="shared" ref="L60:L63" ca="1" si="9">SUM(B60:K60)*12</f>
        <v>0</v>
      </c>
      <c r="M60" s="34"/>
      <c r="N60" s="35"/>
      <c r="O60" s="36"/>
      <c r="P60" s="36"/>
      <c r="Q60" s="36"/>
      <c r="R60" s="2"/>
      <c r="S60" s="2"/>
      <c r="T60" s="2"/>
      <c r="U60" s="2"/>
    </row>
    <row r="61" spans="1:21" x14ac:dyDescent="0.25">
      <c r="A61" t="s">
        <v>61</v>
      </c>
      <c r="B61" s="51">
        <f ca="1">SUMIFS(OFFSET(Persistance!$F:$F,0,$A$2-Persistance!$K$1),Persistance!$B:$B,'2012'!$A61,Persistance!$D:$D,'2012'!B$5,Persistance!$A:$A,"Industrial")*1000</f>
        <v>0</v>
      </c>
      <c r="C61" s="51">
        <f ca="1">SUMIFS(OFFSET(Persistance!$F:$F,0,$A$2-Persistance!$K$1),Persistance!$B:$B,'2012'!$A61,Persistance!$D:$D,'2012'!C$5,Persistance!$A:$A,"Industrial")*1000</f>
        <v>0</v>
      </c>
      <c r="D61" s="51">
        <f ca="1">SUMIFS(OFFSET(Persistance!$F:$F,0,$A$2-Persistance!$K$1),Persistance!$B:$B,'2012'!$A61,Persistance!$D:$D,'2012'!D$5,Persistance!$A:$A,"Industrial")*1000</f>
        <v>0</v>
      </c>
      <c r="E61" s="51">
        <f ca="1">SUMIFS(OFFSET(Persistance!$F:$F,0,$A$2-Persistance!$K$1),Persistance!$B:$B,'2012'!$A61,Persistance!$D:$D,'2012'!E$5,Persistance!$A:$A,"Industrial")*1000</f>
        <v>0</v>
      </c>
      <c r="F61" s="51">
        <f ca="1">SUMIFS(OFFSET(Persistance!$F:$F,0,$A$2-Persistance!$K$1),Persistance!$B:$B,'2012'!$A61,Persistance!$D:$D,'2012'!F$5,Persistance!$A:$A,"Industrial")*1000</f>
        <v>0</v>
      </c>
      <c r="G61" s="51">
        <f ca="1">SUMIFS(OFFSET(Persistance!$F:$F,0,$A$2-Persistance!$K$1),Persistance!$B:$B,'2012'!$A61,Persistance!$D:$D,'2012'!G$5,Persistance!$A:$A,"Industrial")*1000</f>
        <v>0</v>
      </c>
      <c r="H61" s="51">
        <f ca="1">SUMIFS(OFFSET(Persistance!$F:$F,0,$A$2-Persistance!$K$1),Persistance!$B:$B,'2012'!$A61,Persistance!$D:$D,'2012'!H$5,Persistance!$A:$A,"Industrial")*1000</f>
        <v>0</v>
      </c>
      <c r="I61" s="51">
        <f ca="1">SUMIFS(OFFSET(Persistance!$F:$F,0,$A$2-Persistance!$K$1),Persistance!$B:$B,'2012'!$A61,Persistance!$D:$D,'2012'!I$5,Persistance!$A:$A,"Industrial")*1000</f>
        <v>0</v>
      </c>
      <c r="J61" s="51">
        <f ca="1">SUMIFS(OFFSET(Persistance!$F:$F,0,$A$2-Persistance!$K$1),Persistance!$B:$B,'2012'!$A61,Persistance!$D:$D,'2012'!J$5,Persistance!$A:$A,"Industrial")*1000</f>
        <v>0</v>
      </c>
      <c r="K61" s="51">
        <f ca="1">SUMIFS(OFFSET(Persistance!$F:$F,0,$A$2-Persistance!$K$1),Persistance!$B:$B,'2012'!$A61,Persistance!$D:$D,'2012'!K$5,Persistance!$A:$A,"Industrial")*1000</f>
        <v>0</v>
      </c>
      <c r="L61" s="34">
        <f t="shared" ca="1" si="9"/>
        <v>0</v>
      </c>
      <c r="M61" s="34"/>
      <c r="N61" s="35"/>
      <c r="O61" s="36"/>
      <c r="P61" s="36"/>
      <c r="Q61" s="36"/>
      <c r="R61" s="2"/>
      <c r="S61" s="2"/>
      <c r="T61" s="2"/>
      <c r="U61" s="2"/>
    </row>
    <row r="62" spans="1:21" x14ac:dyDescent="0.25">
      <c r="A62" t="s">
        <v>59</v>
      </c>
      <c r="B62" s="51">
        <f ca="1">SUMIFS(OFFSET(Persistance!$F:$F,0,$A$2-Persistance!$K$1),Persistance!$B:$B,'2012'!$A62,Persistance!$D:$D,'2012'!B$5,Persistance!$A:$A,"Industrial")*1000</f>
        <v>0</v>
      </c>
      <c r="C62" s="51">
        <f ca="1">SUMIFS(OFFSET(Persistance!$F:$F,0,$A$2-Persistance!$K$1),Persistance!$B:$B,'2012'!$A62,Persistance!$D:$D,'2012'!C$5,Persistance!$A:$A,"Industrial")*1000</f>
        <v>0</v>
      </c>
      <c r="D62" s="51">
        <f ca="1">SUMIFS(OFFSET(Persistance!$F:$F,0,$A$2-Persistance!$K$1),Persistance!$B:$B,'2012'!$A62,Persistance!$D:$D,'2012'!D$5,Persistance!$A:$A,"Industrial")*1000</f>
        <v>0</v>
      </c>
      <c r="E62" s="51">
        <f ca="1">SUMIFS(OFFSET(Persistance!$F:$F,0,$A$2-Persistance!$K$1),Persistance!$B:$B,'2012'!$A62,Persistance!$D:$D,'2012'!E$5,Persistance!$A:$A,"Industrial")*1000</f>
        <v>0</v>
      </c>
      <c r="F62" s="51">
        <f ca="1">SUMIFS(OFFSET(Persistance!$F:$F,0,$A$2-Persistance!$K$1),Persistance!$B:$B,'2012'!$A62,Persistance!$D:$D,'2012'!F$5,Persistance!$A:$A,"Industrial")*1000</f>
        <v>0</v>
      </c>
      <c r="G62" s="51">
        <f ca="1">SUMIFS(OFFSET(Persistance!$F:$F,0,$A$2-Persistance!$K$1),Persistance!$B:$B,'2012'!$A62,Persistance!$D:$D,'2012'!G$5,Persistance!$A:$A,"Industrial")*1000</f>
        <v>0</v>
      </c>
      <c r="H62" s="51">
        <f ca="1">SUMIFS(OFFSET(Persistance!$F:$F,0,$A$2-Persistance!$K$1),Persistance!$B:$B,'2012'!$A62,Persistance!$D:$D,'2012'!H$5,Persistance!$A:$A,"Industrial")*1000</f>
        <v>0</v>
      </c>
      <c r="I62" s="51">
        <f ca="1">SUMIFS(OFFSET(Persistance!$F:$F,0,$A$2-Persistance!$K$1),Persistance!$B:$B,'2012'!$A62,Persistance!$D:$D,'2012'!I$5,Persistance!$A:$A,"Industrial")*1000</f>
        <v>0</v>
      </c>
      <c r="J62" s="51">
        <f ca="1">SUMIFS(OFFSET(Persistance!$F:$F,0,$A$2-Persistance!$K$1),Persistance!$B:$B,'2012'!$A62,Persistance!$D:$D,'2012'!J$5,Persistance!$A:$A,"Industrial")*1000</f>
        <v>0</v>
      </c>
      <c r="K62" s="51">
        <f ca="1">SUMIFS(OFFSET(Persistance!$F:$F,0,$A$2-Persistance!$K$1),Persistance!$B:$B,'2012'!$A62,Persistance!$D:$D,'2012'!K$5,Persistance!$A:$A,"Industrial")*1000</f>
        <v>0</v>
      </c>
      <c r="L62" s="34">
        <f t="shared" ca="1" si="9"/>
        <v>0</v>
      </c>
      <c r="M62" s="34"/>
      <c r="N62" s="35"/>
      <c r="O62" s="36"/>
      <c r="P62" s="36"/>
      <c r="Q62" s="36"/>
      <c r="R62" s="2"/>
      <c r="S62" s="2"/>
      <c r="T62" s="2"/>
      <c r="U62" s="2"/>
    </row>
    <row r="63" spans="1:21" x14ac:dyDescent="0.25">
      <c r="A63" t="s">
        <v>14</v>
      </c>
      <c r="B63" s="51">
        <f ca="1">SUMIFS(OFFSET(Persistance!$F:$F,0,$A$2-Persistance!$F$1),Persistance!$B:$B,$A63,Persistance!$D:$D,B$5)*1000*'Retrofit Split'!B$7</f>
        <v>30.958106131722101</v>
      </c>
      <c r="C63" s="51">
        <f ca="1">SUMIFS(OFFSET(Persistance!$F:$F,0,$A$2-Persistance!$F$1),Persistance!$B:$B,$A63,Persistance!$D:$D,C$5)*1000*'Retrofit Split'!C$7</f>
        <v>92.949120127940205</v>
      </c>
      <c r="D63" s="51">
        <f ca="1">SUMIFS(OFFSET(Persistance!$F:$F,0,$A$2-Persistance!$F$1),Persistance!$B:$B,$A63,Persistance!$D:$D,D$5)*1000*'Retrofit Split'!D$7</f>
        <v>0</v>
      </c>
      <c r="E63" s="51">
        <f ca="1">SUMIFS(OFFSET(Persistance!$F:$F,0,$A$2-Persistance!$F$1),Persistance!$B:$B,$A63,Persistance!$D:$D,E$5)*1000*'Retrofit Split'!E$7</f>
        <v>0</v>
      </c>
      <c r="F63" s="51">
        <f ca="1">SUMIFS(OFFSET(Persistance!$F:$F,0,$A$2-Persistance!$F$1),Persistance!$B:$B,$A63,Persistance!$D:$D,F$5)*1000*'Retrofit Split'!F$7</f>
        <v>0</v>
      </c>
      <c r="G63" s="51">
        <f ca="1">SUMIFS(OFFSET(Persistance!$F:$F,0,$A$2-Persistance!$F$1),Persistance!$B:$B,$A63,Persistance!$D:$D,G$5)*1000*'Retrofit Split'!G$7</f>
        <v>0</v>
      </c>
      <c r="H63" s="51">
        <f ca="1">SUMIFS(OFFSET(Persistance!$F:$F,0,$A$2-Persistance!$F$1),Persistance!$B:$B,$A63,Persistance!$D:$D,H$5)*1000*'Retrofit Split'!H$7</f>
        <v>0</v>
      </c>
      <c r="I63" s="51">
        <f ca="1">SUMIFS(OFFSET(Persistance!$F:$F,0,$A$2-Persistance!$F$1),Persistance!$B:$B,$A63,Persistance!$D:$D,I$5)*1000*'Retrofit Split'!I$7</f>
        <v>0</v>
      </c>
      <c r="J63" s="51">
        <f ca="1">SUMIFS(OFFSET(Persistance!$F:$F,0,$A$2-Persistance!$F$1),Persistance!$B:$B,$A63,Persistance!$D:$D,J$5)*1000*'Retrofit Split'!J$7</f>
        <v>0</v>
      </c>
      <c r="K63" s="51">
        <f ca="1">SUMIFS(OFFSET(Persistance!$F:$F,0,$A$2-Persistance!$F$1),Persistance!$B:$B,$A63,Persistance!$D:$D,K$5)*1000*'Retrofit Split'!K$7</f>
        <v>0</v>
      </c>
      <c r="L63" s="34">
        <f t="shared" ca="1" si="9"/>
        <v>1486.8867151159477</v>
      </c>
      <c r="M63" s="34"/>
      <c r="N63" s="35"/>
      <c r="O63" s="36"/>
      <c r="P63" s="36"/>
      <c r="Q63" s="36"/>
      <c r="R63" s="2"/>
      <c r="S63" s="28" t="s">
        <v>48</v>
      </c>
      <c r="T63" s="28" t="s">
        <v>17</v>
      </c>
      <c r="U63" s="2" t="s">
        <v>49</v>
      </c>
    </row>
    <row r="64" spans="1:21" x14ac:dyDescent="0.25">
      <c r="B64" s="2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6"/>
      <c r="P64" s="36"/>
      <c r="Q64" s="36"/>
      <c r="R64" s="2"/>
      <c r="S64" s="29">
        <f ca="1">$A$2</f>
        <v>2012</v>
      </c>
      <c r="T64" s="50">
        <f ca="1">AVERAGEIFS(Rates!E:E,Rates!F:F,'2012'!S64,Rates!G:G,"Industrial")</f>
        <v>1.8902000000000001</v>
      </c>
      <c r="U64" s="30">
        <f ca="1">AVERAGEIFS(Rates!B:B,Rates!F:F,'2012'!S64,Rates!G:G,"Industrial")</f>
        <v>41091</v>
      </c>
    </row>
    <row r="65" spans="1:21" x14ac:dyDescent="0.25">
      <c r="A65" t="s">
        <v>19</v>
      </c>
      <c r="B65" s="64">
        <f ca="1">SUM(B53:B64)</f>
        <v>30.958106131722101</v>
      </c>
      <c r="C65" s="64">
        <f ca="1">SUM(C53:C64)</f>
        <v>245.7260276279402</v>
      </c>
      <c r="D65" s="64">
        <f ca="1">SUM(D53:D64)</f>
        <v>0</v>
      </c>
      <c r="E65" s="64">
        <f t="shared" ref="E65:L65" ca="1" si="10">SUM(E53:E64)</f>
        <v>0</v>
      </c>
      <c r="F65" s="64">
        <f t="shared" ca="1" si="10"/>
        <v>0</v>
      </c>
      <c r="G65" s="64">
        <f t="shared" ca="1" si="10"/>
        <v>0</v>
      </c>
      <c r="H65" s="64">
        <f t="shared" ca="1" si="10"/>
        <v>0</v>
      </c>
      <c r="I65" s="64">
        <f t="shared" ca="1" si="10"/>
        <v>0</v>
      </c>
      <c r="J65" s="64">
        <f t="shared" ca="1" si="10"/>
        <v>0</v>
      </c>
      <c r="K65" s="64">
        <f t="shared" ca="1" si="10"/>
        <v>0</v>
      </c>
      <c r="L65" s="64">
        <f t="shared" ca="1" si="10"/>
        <v>1486.8867151159477</v>
      </c>
      <c r="M65" s="64">
        <f>Summary!$G$8</f>
        <v>631</v>
      </c>
      <c r="N65" s="64">
        <f ca="1">(((MONTH(U64)-1)/12)*T65)+(((12-(MONTH(U64)-1))/12)*T64)</f>
        <v>1.5687500000000001</v>
      </c>
      <c r="O65" s="64">
        <f ca="1">ROUND(L65*N65,2)</f>
        <v>2332.5500000000002</v>
      </c>
      <c r="P65" s="64">
        <f ca="1">ROUND(M65*N65,2)</f>
        <v>989.88</v>
      </c>
      <c r="Q65" s="64">
        <f ca="1">+O65-P65</f>
        <v>1342.67</v>
      </c>
      <c r="R65" s="2"/>
      <c r="S65" s="29">
        <f ca="1">S64-1</f>
        <v>2011</v>
      </c>
      <c r="T65" s="50">
        <f ca="1">AVERAGEIFS(Rates!E:E,Rates!F:F,'2012'!S65,Rates!G:G,"Industrial")</f>
        <v>1.2473000000000001</v>
      </c>
      <c r="U65" s="2"/>
    </row>
    <row r="66" spans="1:21" x14ac:dyDescent="0.25">
      <c r="B66" s="65"/>
      <c r="C66" s="65"/>
      <c r="D66" s="65"/>
      <c r="E66" s="53"/>
      <c r="F66" s="53"/>
      <c r="G66" s="53"/>
      <c r="H66" s="53"/>
      <c r="I66" s="53"/>
      <c r="J66" s="53"/>
      <c r="K66" s="53"/>
      <c r="L66" s="53">
        <f ca="1">L65/12</f>
        <v>123.90722625966231</v>
      </c>
      <c r="M66" s="53"/>
      <c r="N66" s="53"/>
      <c r="O66" s="53"/>
      <c r="P66" s="53"/>
      <c r="Q66" s="53"/>
      <c r="R66" s="2"/>
      <c r="S66" s="2"/>
      <c r="T66" s="2"/>
      <c r="U66" s="2"/>
    </row>
    <row r="67" spans="1:21" ht="15.75" thickBot="1" x14ac:dyDescent="0.3">
      <c r="A67" t="s">
        <v>20</v>
      </c>
      <c r="B67" s="66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67">
        <f ca="1">SUM(O30:O66)</f>
        <v>13202.779999999999</v>
      </c>
      <c r="P67" s="67">
        <f ca="1">SUM(P30:P66)</f>
        <v>9735.25</v>
      </c>
      <c r="Q67" s="67">
        <f ca="1">SUM(Q30:Q66)</f>
        <v>3467.53</v>
      </c>
      <c r="R67" s="2"/>
      <c r="S67" s="2"/>
      <c r="T67" s="2"/>
      <c r="U67" s="2"/>
    </row>
    <row r="68" spans="1:21" ht="15.75" thickTop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  <row r="69" spans="1:2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R69" s="2"/>
      <c r="S69" s="2"/>
      <c r="T69" s="2"/>
      <c r="U69" s="2"/>
    </row>
    <row r="70" spans="1:2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R70" s="2"/>
      <c r="S70" s="2"/>
      <c r="T70" s="2"/>
      <c r="U70" s="2"/>
    </row>
    <row r="71" spans="1:21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R71" s="2"/>
      <c r="S71" s="2"/>
      <c r="T71" s="2"/>
      <c r="U7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opLeftCell="A10" workbookViewId="0">
      <selection activeCell="D42" sqref="D42"/>
    </sheetView>
  </sheetViews>
  <sheetFormatPr defaultRowHeight="15" x14ac:dyDescent="0.25"/>
  <cols>
    <col min="1" max="1" width="33.5703125" customWidth="1"/>
    <col min="2" max="14" width="13.7109375" customWidth="1"/>
    <col min="15" max="17" width="13.7109375" style="1" customWidth="1"/>
    <col min="21" max="21" width="10.42578125" bestFit="1" customWidth="1"/>
  </cols>
  <sheetData>
    <row r="1" spans="1:21" x14ac:dyDescent="0.25">
      <c r="A1" t="str">
        <f ca="1">A2&amp;" LRAMVA Calculation"</f>
        <v>2013 LRAMVA Calculation</v>
      </c>
    </row>
    <row r="2" spans="1:21" x14ac:dyDescent="0.25">
      <c r="A2">
        <f ca="1">_xlfn.NUMBERVALUE(MID(CELL("filename",A1),FIND("]",CELL("filename",A1))+1,255))</f>
        <v>2013</v>
      </c>
    </row>
    <row r="4" spans="1:21" x14ac:dyDescent="0.25">
      <c r="L4" s="4">
        <f ca="1">A2</f>
        <v>2013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Current</v>
      </c>
      <c r="E6" s="5" t="str">
        <f t="shared" ca="1" si="1"/>
        <v>N/A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67</v>
      </c>
      <c r="B8" s="51">
        <f ca="1">SUMIFS(OFFSET(Persistance!$K:$K,0,$A$2-Persistance!$K$1),Persistance!$B:$B,$A8,Persistance!$D:$D,B$5,Persistance!$A:$A,"Consumer")*1000</f>
        <v>0</v>
      </c>
      <c r="C8" s="51">
        <f ca="1">SUMIFS(OFFSET(Persistance!$K:$K,0,$A$2-Persistance!$K$1),Persistance!$B:$B,$A8,Persistance!$D:$D,C$5,Persistance!$A:$A,"Consumer")*1000</f>
        <v>0</v>
      </c>
      <c r="D8" s="51">
        <f ca="1">SUMIFS(OFFSET(Persistance!$K:$K,0,$A$2-Persistance!$K$1),Persistance!$B:$B,$A8,Persistance!$D:$D,D$5,Persistance!$A:$A,"Consumer")*1000</f>
        <v>0</v>
      </c>
      <c r="E8" s="51">
        <f ca="1">SUMIFS(OFFSET(Persistance!$K:$K,0,$A$2-Persistance!$K$1),Persistance!$B:$B,$A8,Persistance!$D:$D,E$5,Persistance!$A:$A,"Consumer")*1000</f>
        <v>0</v>
      </c>
      <c r="F8" s="51">
        <f ca="1">SUMIFS(OFFSET(Persistance!$K:$K,0,$A$2-Persistance!$K$1),Persistance!$B:$B,$A8,Persistance!$D:$D,F$5,Persistance!$A:$A,"Consumer")*1000</f>
        <v>0</v>
      </c>
      <c r="G8" s="51">
        <f ca="1">SUMIFS(OFFSET(Persistance!$K:$K,0,$A$2-Persistance!$K$1),Persistance!$B:$B,$A8,Persistance!$D:$D,G$5,Persistance!$A:$A,"Consumer")*1000</f>
        <v>0</v>
      </c>
      <c r="H8" s="51">
        <f ca="1">SUMIFS(OFFSET(Persistance!$K:$K,0,$A$2-Persistance!$K$1),Persistance!$B:$B,$A8,Persistance!$D:$D,H$5,Persistance!$A:$A,"Consumer")*1000</f>
        <v>0</v>
      </c>
      <c r="I8" s="51">
        <f ca="1">SUMIFS(OFFSET(Persistance!$K:$K,0,$A$2-Persistance!$K$1),Persistance!$B:$B,$A8,Persistance!$D:$D,I$5,Persistance!$A:$A,"Consumer")*1000</f>
        <v>0</v>
      </c>
      <c r="J8" s="51">
        <f ca="1">SUMIFS(OFFSET(Persistance!$K:$K,0,$A$2-Persistance!$K$1),Persistance!$B:$B,$A8,Persistance!$D:$D,J$5,Persistance!$A:$A,"Consumer")*1000</f>
        <v>0</v>
      </c>
      <c r="K8" s="51">
        <f ca="1">SUMIFS(OFFSET(Persistance!$K:$K,0,$A$2-Persistance!$K$1),Persistance!$B:$B,$A8,Persistance!$D:$D,K$5,Persistance!$A:$A,"Consumer")*1000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73</v>
      </c>
      <c r="B9" s="51">
        <f ca="1">SUMIFS(OFFSET(Persistance!$K:$K,0,$A$2-Persistance!$K$1),Persistance!$B:$B,$A9,Persistance!$D:$D,B$5,Persistance!$A:$A,"Consumer")*1000</f>
        <v>0</v>
      </c>
      <c r="C9" s="51">
        <f ca="1">SUMIFS(OFFSET(Persistance!$K:$K,0,$A$2-Persistance!$K$1),Persistance!$B:$B,$A9,Persistance!$D:$D,C$5,Persistance!$A:$A,"Consumer")*1000</f>
        <v>0</v>
      </c>
      <c r="D9" s="51">
        <f ca="1">SUMIFS(OFFSET(Persistance!$K:$K,0,$A$2-Persistance!$K$1),Persistance!$B:$B,$A9,Persistance!$D:$D,D$5,Persistance!$A:$A,"Consumer")*1000</f>
        <v>8633.4702824550004</v>
      </c>
      <c r="E9" s="51">
        <f ca="1">SUMIFS(OFFSET(Persistance!$K:$K,0,$A$2-Persistance!$K$1),Persistance!$B:$B,$A9,Persistance!$D:$D,E$5,Persistance!$A:$A,"Consumer")*1000</f>
        <v>0</v>
      </c>
      <c r="F9" s="51">
        <f ca="1">SUMIFS(OFFSET(Persistance!$K:$K,0,$A$2-Persistance!$K$1),Persistance!$B:$B,$A9,Persistance!$D:$D,F$5,Persistance!$A:$A,"Consumer")*1000</f>
        <v>0</v>
      </c>
      <c r="G9" s="51">
        <f ca="1">SUMIFS(OFFSET(Persistance!$K:$K,0,$A$2-Persistance!$K$1),Persistance!$B:$B,$A9,Persistance!$D:$D,G$5,Persistance!$A:$A,"Consumer")*1000</f>
        <v>0</v>
      </c>
      <c r="H9" s="51">
        <f ca="1">SUMIFS(OFFSET(Persistance!$K:$K,0,$A$2-Persistance!$K$1),Persistance!$B:$B,$A9,Persistance!$D:$D,H$5,Persistance!$A:$A,"Consumer")*1000</f>
        <v>0</v>
      </c>
      <c r="I9" s="51">
        <f ca="1">SUMIFS(OFFSET(Persistance!$K:$K,0,$A$2-Persistance!$K$1),Persistance!$B:$B,$A9,Persistance!$D:$D,I$5,Persistance!$A:$A,"Consumer")*1000</f>
        <v>0</v>
      </c>
      <c r="J9" s="51">
        <f ca="1">SUMIFS(OFFSET(Persistance!$K:$K,0,$A$2-Persistance!$K$1),Persistance!$B:$B,$A9,Persistance!$D:$D,J$5,Persistance!$A:$A,"Consumer")*1000</f>
        <v>0</v>
      </c>
      <c r="K9" s="51">
        <f ca="1">SUMIFS(OFFSET(Persistance!$K:$K,0,$A$2-Persistance!$K$1),Persistance!$B:$B,$A9,Persistance!$D:$D,K$5,Persistance!$A:$A,"Consumer")*1000</f>
        <v>0</v>
      </c>
      <c r="L9" s="34">
        <f t="shared" ref="L9:L28" ca="1" si="2">SUM(B9:K9)</f>
        <v>8633.4702824550004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1">
        <f ca="1">SUMIFS(OFFSET(Persistance!$K:$K,0,$A$2-Persistance!$K$1),Persistance!$B:$B,$A10,Persistance!$D:$D,B$5,Persistance!$A:$A,"Consumer")*1000</f>
        <v>1139.0643001535843</v>
      </c>
      <c r="C10" s="51">
        <f ca="1">SUMIFS(OFFSET(Persistance!$K:$K,0,$A$2-Persistance!$K$1),Persistance!$B:$B,$A10,Persistance!$D:$D,C$5,Persistance!$A:$A,"Consumer")*1000</f>
        <v>6693.1949622850116</v>
      </c>
      <c r="D10" s="51">
        <f ca="1">SUMIFS(OFFSET(Persistance!$K:$K,0,$A$2-Persistance!$K$1),Persistance!$B:$B,$A10,Persistance!$D:$D,D$5,Persistance!$A:$A,"Consumer")*1000</f>
        <v>369.43987800000002</v>
      </c>
      <c r="E10" s="51">
        <f ca="1">SUMIFS(OFFSET(Persistance!$K:$K,0,$A$2-Persistance!$K$1),Persistance!$B:$B,$A10,Persistance!$D:$D,E$5,Persistance!$A:$A,"Consumer")*1000</f>
        <v>0</v>
      </c>
      <c r="F10" s="51">
        <f ca="1">SUMIFS(OFFSET(Persistance!$K:$K,0,$A$2-Persistance!$K$1),Persistance!$B:$B,$A10,Persistance!$D:$D,F$5,Persistance!$A:$A,"Consumer")*1000</f>
        <v>0</v>
      </c>
      <c r="G10" s="51">
        <f ca="1">SUMIFS(OFFSET(Persistance!$K:$K,0,$A$2-Persistance!$K$1),Persistance!$B:$B,$A10,Persistance!$D:$D,G$5,Persistance!$A:$A,"Consumer")*1000</f>
        <v>0</v>
      </c>
      <c r="H10" s="51">
        <f ca="1">SUMIFS(OFFSET(Persistance!$K:$K,0,$A$2-Persistance!$K$1),Persistance!$B:$B,$A10,Persistance!$D:$D,H$5,Persistance!$A:$A,"Consumer")*1000</f>
        <v>0</v>
      </c>
      <c r="I10" s="51">
        <f ca="1">SUMIFS(OFFSET(Persistance!$K:$K,0,$A$2-Persistance!$K$1),Persistance!$B:$B,$A10,Persistance!$D:$D,I$5,Persistance!$A:$A,"Consumer")*1000</f>
        <v>0</v>
      </c>
      <c r="J10" s="51">
        <f ca="1">SUMIFS(OFFSET(Persistance!$K:$K,0,$A$2-Persistance!$K$1),Persistance!$B:$B,$A10,Persistance!$D:$D,J$5,Persistance!$A:$A,"Consumer")*1000</f>
        <v>0</v>
      </c>
      <c r="K10" s="51">
        <f ca="1">SUMIFS(OFFSET(Persistance!$K:$K,0,$A$2-Persistance!$K$1),Persistance!$B:$B,$A10,Persistance!$D:$D,K$5,Persistance!$A:$A,"Consumer")*1000</f>
        <v>0</v>
      </c>
      <c r="L10" s="34">
        <f t="shared" ca="1" si="2"/>
        <v>8201.6991404385954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1">
        <f ca="1">SUMIFS(OFFSET(Persistance!$K:$K,0,$A$2-Persistance!$K$1),Persistance!$B:$B,$A11,Persistance!$D:$D,B$5,Persistance!$A:$A,"Consumer")*1000</f>
        <v>43725.781352008045</v>
      </c>
      <c r="C11" s="51">
        <f ca="1">SUMIFS(OFFSET(Persistance!$K:$K,0,$A$2-Persistance!$K$1),Persistance!$B:$B,$A11,Persistance!$D:$D,C$5,Persistance!$A:$A,"Consumer")*1000</f>
        <v>40192.787655372471</v>
      </c>
      <c r="D11" s="51">
        <f ca="1">SUMIFS(OFFSET(Persistance!$K:$K,0,$A$2-Persistance!$K$1),Persistance!$B:$B,$A11,Persistance!$D:$D,D$5,Persistance!$A:$A,"Consumer")*1000</f>
        <v>29521.39728105376</v>
      </c>
      <c r="E11" s="51">
        <f ca="1">SUMIFS(OFFSET(Persistance!$K:$K,0,$A$2-Persistance!$K$1),Persistance!$B:$B,$A11,Persistance!$D:$D,E$5,Persistance!$A:$A,"Consumer")*1000</f>
        <v>0</v>
      </c>
      <c r="F11" s="51">
        <f ca="1">SUMIFS(OFFSET(Persistance!$K:$K,0,$A$2-Persistance!$K$1),Persistance!$B:$B,$A11,Persistance!$D:$D,F$5,Persistance!$A:$A,"Consumer")*1000</f>
        <v>0</v>
      </c>
      <c r="G11" s="51">
        <f ca="1">SUMIFS(OFFSET(Persistance!$K:$K,0,$A$2-Persistance!$K$1),Persistance!$B:$B,$A11,Persistance!$D:$D,G$5,Persistance!$A:$A,"Consumer")*1000</f>
        <v>0</v>
      </c>
      <c r="H11" s="51">
        <f ca="1">SUMIFS(OFFSET(Persistance!$K:$K,0,$A$2-Persistance!$K$1),Persistance!$B:$B,$A11,Persistance!$D:$D,H$5,Persistance!$A:$A,"Consumer")*1000</f>
        <v>0</v>
      </c>
      <c r="I11" s="51">
        <f ca="1">SUMIFS(OFFSET(Persistance!$K:$K,0,$A$2-Persistance!$K$1),Persistance!$B:$B,$A11,Persistance!$D:$D,I$5,Persistance!$A:$A,"Consumer")*1000</f>
        <v>0</v>
      </c>
      <c r="J11" s="51">
        <f ca="1">SUMIFS(OFFSET(Persistance!$K:$K,0,$A$2-Persistance!$K$1),Persistance!$B:$B,$A11,Persistance!$D:$D,J$5,Persistance!$A:$A,"Consumer")*1000</f>
        <v>0</v>
      </c>
      <c r="K11" s="51">
        <f ca="1">SUMIFS(OFFSET(Persistance!$K:$K,0,$A$2-Persistance!$K$1),Persistance!$B:$B,$A11,Persistance!$D:$D,K$5,Persistance!$A:$A,"Consumer")*1000</f>
        <v>0</v>
      </c>
      <c r="L11" s="34">
        <f t="shared" ca="1" si="2"/>
        <v>113439.96628843428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52</v>
      </c>
      <c r="B12" s="51">
        <f ca="1">SUMIFS(OFFSET(Persistance!$K:$K,0,$A$2-Persistance!$K$1),Persistance!$B:$B,$A12,Persistance!$D:$D,B$5,Persistance!$A:$A,"Consumer")*1000</f>
        <v>0</v>
      </c>
      <c r="C12" s="51">
        <f ca="1">SUMIFS(OFFSET(Persistance!$K:$K,0,$A$2-Persistance!$K$1),Persistance!$B:$B,$A12,Persistance!$D:$D,C$5,Persistance!$A:$A,"Consumer")*1000</f>
        <v>0</v>
      </c>
      <c r="D12" s="51">
        <f ca="1">SUMIFS(OFFSET(Persistance!$K:$K,0,$A$2-Persistance!$K$1),Persistance!$B:$B,$A12,Persistance!$D:$D,D$5,Persistance!$A:$A,"Consumer")*1000</f>
        <v>0</v>
      </c>
      <c r="E12" s="51">
        <f ca="1">SUMIFS(OFFSET(Persistance!$K:$K,0,$A$2-Persistance!$K$1),Persistance!$B:$B,$A12,Persistance!$D:$D,E$5,Persistance!$A:$A,"Consumer")*1000</f>
        <v>0</v>
      </c>
      <c r="F12" s="51">
        <f ca="1">SUMIFS(OFFSET(Persistance!$K:$K,0,$A$2-Persistance!$K$1),Persistance!$B:$B,$A12,Persistance!$D:$D,F$5,Persistance!$A:$A,"Consumer")*1000</f>
        <v>0</v>
      </c>
      <c r="G12" s="51">
        <f ca="1">SUMIFS(OFFSET(Persistance!$K:$K,0,$A$2-Persistance!$K$1),Persistance!$B:$B,$A12,Persistance!$D:$D,G$5,Persistance!$A:$A,"Consumer")*1000</f>
        <v>0</v>
      </c>
      <c r="H12" s="51">
        <f ca="1">SUMIFS(OFFSET(Persistance!$K:$K,0,$A$2-Persistance!$K$1),Persistance!$B:$B,$A12,Persistance!$D:$D,H$5,Persistance!$A:$A,"Consumer")*1000</f>
        <v>0</v>
      </c>
      <c r="I12" s="51">
        <f ca="1">SUMIFS(OFFSET(Persistance!$K:$K,0,$A$2-Persistance!$K$1),Persistance!$B:$B,$A12,Persistance!$D:$D,I$5,Persistance!$A:$A,"Consumer")*1000</f>
        <v>0</v>
      </c>
      <c r="J12" s="51">
        <f ca="1">SUMIFS(OFFSET(Persistance!$K:$K,0,$A$2-Persistance!$K$1),Persistance!$B:$B,$A12,Persistance!$D:$D,J$5,Persistance!$A:$A,"Consumer")*1000</f>
        <v>0</v>
      </c>
      <c r="K12" s="51">
        <f ca="1">SUMIFS(OFFSET(Persistance!$K:$K,0,$A$2-Persistance!$K$1),Persistance!$B:$B,$A12,Persistance!$D:$D,K$5,Persistance!$A:$A,"Consumer")*1000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1">
        <f ca="1">SUMIFS(OFFSET(Persistance!$K:$K,0,$A$2-Persistance!$K$1),Persistance!$B:$B,$A13,Persistance!$D:$D,B$5,Persistance!$A:$A,"Consumer")*1000</f>
        <v>35363.411686439838</v>
      </c>
      <c r="C13" s="51">
        <f ca="1">SUMIFS(OFFSET(Persistance!$K:$K,0,$A$2-Persistance!$K$1),Persistance!$B:$B,$A13,Persistance!$D:$D,C$5,Persistance!$A:$A,"Consumer")*1000</f>
        <v>29998.910254468694</v>
      </c>
      <c r="D13" s="51">
        <f ca="1">SUMIFS(OFFSET(Persistance!$K:$K,0,$A$2-Persistance!$K$1),Persistance!$B:$B,$A13,Persistance!$D:$D,D$5,Persistance!$A:$A,"Consumer")*1000</f>
        <v>0</v>
      </c>
      <c r="E13" s="51">
        <f ca="1">SUMIFS(OFFSET(Persistance!$K:$K,0,$A$2-Persistance!$K$1),Persistance!$B:$B,$A13,Persistance!$D:$D,E$5,Persistance!$A:$A,"Consumer")*1000</f>
        <v>0</v>
      </c>
      <c r="F13" s="51">
        <f ca="1">SUMIFS(OFFSET(Persistance!$K:$K,0,$A$2-Persistance!$K$1),Persistance!$B:$B,$A13,Persistance!$D:$D,F$5,Persistance!$A:$A,"Consumer")*1000</f>
        <v>0</v>
      </c>
      <c r="G13" s="51">
        <f ca="1">SUMIFS(OFFSET(Persistance!$K:$K,0,$A$2-Persistance!$K$1),Persistance!$B:$B,$A13,Persistance!$D:$D,G$5,Persistance!$A:$A,"Consumer")*1000</f>
        <v>0</v>
      </c>
      <c r="H13" s="51">
        <f ca="1">SUMIFS(OFFSET(Persistance!$K:$K,0,$A$2-Persistance!$K$1),Persistance!$B:$B,$A13,Persistance!$D:$D,H$5,Persistance!$A:$A,"Consumer")*1000</f>
        <v>0</v>
      </c>
      <c r="I13" s="51">
        <f ca="1">SUMIFS(OFFSET(Persistance!$K:$K,0,$A$2-Persistance!$K$1),Persistance!$B:$B,$A13,Persistance!$D:$D,I$5,Persistance!$A:$A,"Consumer")*1000</f>
        <v>0</v>
      </c>
      <c r="J13" s="51">
        <f ca="1">SUMIFS(OFFSET(Persistance!$K:$K,0,$A$2-Persistance!$K$1),Persistance!$B:$B,$A13,Persistance!$D:$D,J$5,Persistance!$A:$A,"Consumer")*1000</f>
        <v>0</v>
      </c>
      <c r="K13" s="51">
        <f ca="1">SUMIFS(OFFSET(Persistance!$K:$K,0,$A$2-Persistance!$K$1),Persistance!$B:$B,$A13,Persistance!$D:$D,K$5,Persistance!$A:$A,"Consumer")*1000</f>
        <v>0</v>
      </c>
      <c r="L13" s="34">
        <f t="shared" ca="1" si="2"/>
        <v>65362.321940908529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51</v>
      </c>
      <c r="B14" s="51">
        <f ca="1">SUMIFS(OFFSET(Persistance!$K:$K,0,$A$2-Persistance!$K$1),Persistance!$B:$B,$A14,Persistance!$D:$D,B$5,Persistance!$A:$A,"Consumer")*1000</f>
        <v>0</v>
      </c>
      <c r="C14" s="51">
        <f ca="1">SUMIFS(OFFSET(Persistance!$K:$K,0,$A$2-Persistance!$K$1),Persistance!$B:$B,$A14,Persistance!$D:$D,C$5,Persistance!$A:$A,"Consumer")*1000</f>
        <v>0</v>
      </c>
      <c r="D14" s="51">
        <f ca="1">SUMIFS(OFFSET(Persistance!$K:$K,0,$A$2-Persistance!$K$1),Persistance!$B:$B,$A14,Persistance!$D:$D,D$5,Persistance!$A:$A,"Consumer")*1000</f>
        <v>0</v>
      </c>
      <c r="E14" s="51">
        <f ca="1">SUMIFS(OFFSET(Persistance!$K:$K,0,$A$2-Persistance!$K$1),Persistance!$B:$B,$A14,Persistance!$D:$D,E$5,Persistance!$A:$A,"Consumer")*1000</f>
        <v>0</v>
      </c>
      <c r="F14" s="51">
        <f ca="1">SUMIFS(OFFSET(Persistance!$K:$K,0,$A$2-Persistance!$K$1),Persistance!$B:$B,$A14,Persistance!$D:$D,F$5,Persistance!$A:$A,"Consumer")*1000</f>
        <v>0</v>
      </c>
      <c r="G14" s="51">
        <f ca="1">SUMIFS(OFFSET(Persistance!$K:$K,0,$A$2-Persistance!$K$1),Persistance!$B:$B,$A14,Persistance!$D:$D,G$5,Persistance!$A:$A,"Consumer")*1000</f>
        <v>0</v>
      </c>
      <c r="H14" s="51">
        <f ca="1">SUMIFS(OFFSET(Persistance!$K:$K,0,$A$2-Persistance!$K$1),Persistance!$B:$B,$A14,Persistance!$D:$D,H$5,Persistance!$A:$A,"Consumer")*1000</f>
        <v>0</v>
      </c>
      <c r="I14" s="51">
        <f ca="1">SUMIFS(OFFSET(Persistance!$K:$K,0,$A$2-Persistance!$K$1),Persistance!$B:$B,$A14,Persistance!$D:$D,I$5,Persistance!$A:$A,"Consumer")*1000</f>
        <v>0</v>
      </c>
      <c r="J14" s="51">
        <f ca="1">SUMIFS(OFFSET(Persistance!$K:$K,0,$A$2-Persistance!$K$1),Persistance!$B:$B,$A14,Persistance!$D:$D,J$5,Persistance!$A:$A,"Consumer")*1000</f>
        <v>0</v>
      </c>
      <c r="K14" s="51">
        <f ca="1">SUMIFS(OFFSET(Persistance!$K:$K,0,$A$2-Persistance!$K$1),Persistance!$B:$B,$A14,Persistance!$D:$D,K$5,Persistance!$A:$A,"Consumer")*1000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74</v>
      </c>
      <c r="B15" s="51">
        <f ca="1">SUMIFS(OFFSET(Persistance!$K:$K,0,$A$2-Persistance!$K$1),Persistance!$B:$B,$A15,Persistance!$D:$D,B$5,Persistance!$A:$A,"Consumer")*1000</f>
        <v>0</v>
      </c>
      <c r="C15" s="51">
        <f ca="1">SUMIFS(OFFSET(Persistance!$K:$K,0,$A$2-Persistance!$K$1),Persistance!$B:$B,$A15,Persistance!$D:$D,C$5,Persistance!$A:$A,"Consumer")*1000</f>
        <v>0</v>
      </c>
      <c r="D15" s="51">
        <f ca="1">SUMIFS(OFFSET(Persistance!$K:$K,0,$A$2-Persistance!$K$1),Persistance!$B:$B,$A15,Persistance!$D:$D,D$5,Persistance!$A:$A,"Consumer")*1000</f>
        <v>19243.625376914999</v>
      </c>
      <c r="E15" s="51">
        <f ca="1">SUMIFS(OFFSET(Persistance!$K:$K,0,$A$2-Persistance!$K$1),Persistance!$B:$B,$A15,Persistance!$D:$D,E$5,Persistance!$A:$A,"Consumer")*1000</f>
        <v>0</v>
      </c>
      <c r="F15" s="51">
        <f ca="1">SUMIFS(OFFSET(Persistance!$K:$K,0,$A$2-Persistance!$K$1),Persistance!$B:$B,$A15,Persistance!$D:$D,F$5,Persistance!$A:$A,"Consumer")*1000</f>
        <v>0</v>
      </c>
      <c r="G15" s="51">
        <f ca="1">SUMIFS(OFFSET(Persistance!$K:$K,0,$A$2-Persistance!$K$1),Persistance!$B:$B,$A15,Persistance!$D:$D,G$5,Persistance!$A:$A,"Consumer")*1000</f>
        <v>0</v>
      </c>
      <c r="H15" s="51">
        <f ca="1">SUMIFS(OFFSET(Persistance!$K:$K,0,$A$2-Persistance!$K$1),Persistance!$B:$B,$A15,Persistance!$D:$D,H$5,Persistance!$A:$A,"Consumer")*1000</f>
        <v>0</v>
      </c>
      <c r="I15" s="51">
        <f ca="1">SUMIFS(OFFSET(Persistance!$K:$K,0,$A$2-Persistance!$K$1),Persistance!$B:$B,$A15,Persistance!$D:$D,I$5,Persistance!$A:$A,"Consumer")*1000</f>
        <v>0</v>
      </c>
      <c r="J15" s="51">
        <f ca="1">SUMIFS(OFFSET(Persistance!$K:$K,0,$A$2-Persistance!$K$1),Persistance!$B:$B,$A15,Persistance!$D:$D,J$5,Persistance!$A:$A,"Consumer")*1000</f>
        <v>0</v>
      </c>
      <c r="K15" s="51">
        <f ca="1">SUMIFS(OFFSET(Persistance!$K:$K,0,$A$2-Persistance!$K$1),Persistance!$B:$B,$A15,Persistance!$D:$D,K$5,Persistance!$A:$A,"Consumer")*1000</f>
        <v>0</v>
      </c>
      <c r="L15" s="34">
        <f t="shared" ca="1" si="2"/>
        <v>19243.625376914999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1">
        <f ca="1">SUMIFS(OFFSET(Persistance!$K:$K,0,$A$2-Persistance!$K$1),Persistance!$B:$B,$A16,Persistance!$D:$D,B$5,Persistance!$A:$A,"Consumer")*1000</f>
        <v>21187.08171814321</v>
      </c>
      <c r="C16" s="51">
        <f ca="1">SUMIFS(OFFSET(Persistance!$K:$K,0,$A$2-Persistance!$K$1),Persistance!$B:$B,$A16,Persistance!$D:$D,C$5,Persistance!$A:$A,"Consumer")*1000</f>
        <v>1566.1654124212519</v>
      </c>
      <c r="D16" s="51">
        <f ca="1">SUMIFS(OFFSET(Persistance!$K:$K,0,$A$2-Persistance!$K$1),Persistance!$B:$B,$A16,Persistance!$D:$D,D$5,Persistance!$A:$A,"Consumer")*1000</f>
        <v>26</v>
      </c>
      <c r="E16" s="51">
        <f ca="1">SUMIFS(OFFSET(Persistance!$K:$K,0,$A$2-Persistance!$K$1),Persistance!$B:$B,$A16,Persistance!$D:$D,E$5,Persistance!$A:$A,"Consumer")*1000</f>
        <v>0</v>
      </c>
      <c r="F16" s="51">
        <f ca="1">SUMIFS(OFFSET(Persistance!$K:$K,0,$A$2-Persistance!$K$1),Persistance!$B:$B,$A16,Persistance!$D:$D,F$5,Persistance!$A:$A,"Consumer")*1000</f>
        <v>0</v>
      </c>
      <c r="G16" s="51">
        <f ca="1">SUMIFS(OFFSET(Persistance!$K:$K,0,$A$2-Persistance!$K$1),Persistance!$B:$B,$A16,Persistance!$D:$D,G$5,Persistance!$A:$A,"Consumer")*1000</f>
        <v>0</v>
      </c>
      <c r="H16" s="51">
        <f ca="1">SUMIFS(OFFSET(Persistance!$K:$K,0,$A$2-Persistance!$K$1),Persistance!$B:$B,$A16,Persistance!$D:$D,H$5,Persistance!$A:$A,"Consumer")*1000</f>
        <v>0</v>
      </c>
      <c r="I16" s="51">
        <f ca="1">SUMIFS(OFFSET(Persistance!$K:$K,0,$A$2-Persistance!$K$1),Persistance!$B:$B,$A16,Persistance!$D:$D,I$5,Persistance!$A:$A,"Consumer")*1000</f>
        <v>0</v>
      </c>
      <c r="J16" s="51">
        <f ca="1">SUMIFS(OFFSET(Persistance!$K:$K,0,$A$2-Persistance!$K$1),Persistance!$B:$B,$A16,Persistance!$D:$D,J$5,Persistance!$A:$A,"Consumer")*1000</f>
        <v>0</v>
      </c>
      <c r="K16" s="51">
        <f ca="1">SUMIFS(OFFSET(Persistance!$K:$K,0,$A$2-Persistance!$K$1),Persistance!$B:$B,$A16,Persistance!$D:$D,K$5,Persistance!$A:$A,"Consumer")*1000</f>
        <v>0</v>
      </c>
      <c r="L16" s="34">
        <f t="shared" ca="1" si="2"/>
        <v>22779.247130564461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50</v>
      </c>
      <c r="B17" s="51">
        <f ca="1">SUMIFS(OFFSET(Persistance!$K:$K,0,$A$2-Persistance!$K$1),Persistance!$B:$B,$A17,Persistance!$D:$D,B$5,Persistance!$A:$A,"Consumer")*1000</f>
        <v>0</v>
      </c>
      <c r="C17" s="51">
        <f ca="1">SUMIFS(OFFSET(Persistance!$K:$K,0,$A$2-Persistance!$K$1),Persistance!$B:$B,$A17,Persistance!$D:$D,C$5,Persistance!$A:$A,"Consumer")*1000</f>
        <v>0</v>
      </c>
      <c r="D17" s="51">
        <f ca="1">SUMIFS(OFFSET(Persistance!$K:$K,0,$A$2-Persistance!$K$1),Persistance!$B:$B,$A17,Persistance!$D:$D,D$5,Persistance!$A:$A,"Consumer")*1000</f>
        <v>0</v>
      </c>
      <c r="E17" s="51">
        <f ca="1">SUMIFS(OFFSET(Persistance!$K:$K,0,$A$2-Persistance!$K$1),Persistance!$B:$B,$A17,Persistance!$D:$D,E$5,Persistance!$A:$A,"Consumer")*1000</f>
        <v>0</v>
      </c>
      <c r="F17" s="51">
        <f ca="1">SUMIFS(OFFSET(Persistance!$K:$K,0,$A$2-Persistance!$K$1),Persistance!$B:$B,$A17,Persistance!$D:$D,F$5,Persistance!$A:$A,"Consumer")*1000</f>
        <v>0</v>
      </c>
      <c r="G17" s="51">
        <f ca="1">SUMIFS(OFFSET(Persistance!$K:$K,0,$A$2-Persistance!$K$1),Persistance!$B:$B,$A17,Persistance!$D:$D,G$5,Persistance!$A:$A,"Consumer")*1000</f>
        <v>0</v>
      </c>
      <c r="H17" s="51">
        <f ca="1">SUMIFS(OFFSET(Persistance!$K:$K,0,$A$2-Persistance!$K$1),Persistance!$B:$B,$A17,Persistance!$D:$D,H$5,Persistance!$A:$A,"Consumer")*1000</f>
        <v>0</v>
      </c>
      <c r="I17" s="51">
        <f ca="1">SUMIFS(OFFSET(Persistance!$K:$K,0,$A$2-Persistance!$K$1),Persistance!$B:$B,$A17,Persistance!$D:$D,I$5,Persistance!$A:$A,"Consumer")*1000</f>
        <v>0</v>
      </c>
      <c r="J17" s="51">
        <f ca="1">SUMIFS(OFFSET(Persistance!$K:$K,0,$A$2-Persistance!$K$1),Persistance!$B:$B,$A17,Persistance!$D:$D,J$5,Persistance!$A:$A,"Consumer")*1000</f>
        <v>0</v>
      </c>
      <c r="K17" s="51">
        <f ca="1">SUMIFS(OFFSET(Persistance!$K:$K,0,$A$2-Persistance!$K$1),Persistance!$B:$B,$A17,Persistance!$D:$D,K$5,Persistance!$A:$A,"Consumer")*1000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1">
        <f ca="1">SUMIFS(OFFSET(Persistance!$K:$K,0,$A$2-Persistance!$K$1),Persistance!$B:$B,$A18,Persistance!$D:$D,B$5,Persistance!$A:$A,"Consumer")*1000</f>
        <v>0</v>
      </c>
      <c r="C18" s="51">
        <f ca="1">SUMIFS(OFFSET(Persistance!$K:$K,0,$A$2-Persistance!$K$1),Persistance!$B:$B,$A18,Persistance!$D:$D,C$5,Persistance!$A:$A,"Consumer")*1000</f>
        <v>11262.371093750002</v>
      </c>
      <c r="D18" s="51">
        <f ca="1">SUMIFS(OFFSET(Persistance!$K:$K,0,$A$2-Persistance!$K$1),Persistance!$B:$B,$A18,Persistance!$D:$D,D$5,Persistance!$A:$A,"Consumer")*1000</f>
        <v>41344.086723257002</v>
      </c>
      <c r="E18" s="51">
        <f ca="1">SUMIFS(OFFSET(Persistance!$K:$K,0,$A$2-Persistance!$K$1),Persistance!$B:$B,$A18,Persistance!$D:$D,E$5,Persistance!$A:$A,"Consumer")*1000</f>
        <v>0</v>
      </c>
      <c r="F18" s="51">
        <f ca="1">SUMIFS(OFFSET(Persistance!$K:$K,0,$A$2-Persistance!$K$1),Persistance!$B:$B,$A18,Persistance!$D:$D,F$5,Persistance!$A:$A,"Consumer")*1000</f>
        <v>0</v>
      </c>
      <c r="G18" s="51">
        <f ca="1">SUMIFS(OFFSET(Persistance!$K:$K,0,$A$2-Persistance!$K$1),Persistance!$B:$B,$A18,Persistance!$D:$D,G$5,Persistance!$A:$A,"Consumer")*1000</f>
        <v>0</v>
      </c>
      <c r="H18" s="51">
        <f ca="1">SUMIFS(OFFSET(Persistance!$K:$K,0,$A$2-Persistance!$K$1),Persistance!$B:$B,$A18,Persistance!$D:$D,H$5,Persistance!$A:$A,"Consumer")*1000</f>
        <v>0</v>
      </c>
      <c r="I18" s="51">
        <f ca="1">SUMIFS(OFFSET(Persistance!$K:$K,0,$A$2-Persistance!$K$1),Persistance!$B:$B,$A18,Persistance!$D:$D,I$5,Persistance!$A:$A,"Consumer")*1000</f>
        <v>0</v>
      </c>
      <c r="J18" s="51">
        <f ca="1">SUMIFS(OFFSET(Persistance!$K:$K,0,$A$2-Persistance!$K$1),Persistance!$B:$B,$A18,Persistance!$D:$D,J$5,Persistance!$A:$A,"Consumer")*1000</f>
        <v>0</v>
      </c>
      <c r="K18" s="51">
        <f ca="1">SUMIFS(OFFSET(Persistance!$K:$K,0,$A$2-Persistance!$K$1),Persistance!$B:$B,$A18,Persistance!$D:$D,K$5,Persistance!$A:$A,"Consumer")*1000</f>
        <v>0</v>
      </c>
      <c r="L18" s="34">
        <f t="shared" ca="1" si="2"/>
        <v>52606.457817007002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75</v>
      </c>
      <c r="B19" s="51">
        <f ca="1">SUMIFS(OFFSET(Persistance!$K:$K,0,$A$2-Persistance!$K$1),Persistance!$B:$B,$A19,Persistance!$D:$D,B$5,Persistance!$A:$A,"Consumer")*1000</f>
        <v>0</v>
      </c>
      <c r="C19" s="51">
        <f ca="1">SUMIFS(OFFSET(Persistance!$K:$K,0,$A$2-Persistance!$K$1),Persistance!$B:$B,$A19,Persistance!$D:$D,C$5,Persistance!$A:$A,"Consumer")*1000</f>
        <v>1856.2897101191882</v>
      </c>
      <c r="D19" s="51">
        <f ca="1">SUMIFS(OFFSET(Persistance!$K:$K,0,$A$2-Persistance!$K$1),Persistance!$B:$B,$A19,Persistance!$D:$D,D$5,Persistance!$A:$A,"Consumer")*1000</f>
        <v>47983.528767304</v>
      </c>
      <c r="E19" s="51">
        <f ca="1">SUMIFS(OFFSET(Persistance!$K:$K,0,$A$2-Persistance!$K$1),Persistance!$B:$B,$A19,Persistance!$D:$D,E$5,Persistance!$A:$A,"Consumer")*1000</f>
        <v>0</v>
      </c>
      <c r="F19" s="51">
        <f ca="1">SUMIFS(OFFSET(Persistance!$K:$K,0,$A$2-Persistance!$K$1),Persistance!$B:$B,$A19,Persistance!$D:$D,F$5,Persistance!$A:$A,"Consumer")*1000</f>
        <v>0</v>
      </c>
      <c r="G19" s="51">
        <f ca="1">SUMIFS(OFFSET(Persistance!$K:$K,0,$A$2-Persistance!$K$1),Persistance!$B:$B,$A19,Persistance!$D:$D,G$5,Persistance!$A:$A,"Consumer")*1000</f>
        <v>0</v>
      </c>
      <c r="H19" s="51">
        <f ca="1">SUMIFS(OFFSET(Persistance!$K:$K,0,$A$2-Persistance!$K$1),Persistance!$B:$B,$A19,Persistance!$D:$D,H$5,Persistance!$A:$A,"Consumer")*1000</f>
        <v>0</v>
      </c>
      <c r="I19" s="51">
        <f ca="1">SUMIFS(OFFSET(Persistance!$K:$K,0,$A$2-Persistance!$K$1),Persistance!$B:$B,$A19,Persistance!$D:$D,I$5,Persistance!$A:$A,"Consumer")*1000</f>
        <v>0</v>
      </c>
      <c r="J19" s="51">
        <f ca="1">SUMIFS(OFFSET(Persistance!$K:$K,0,$A$2-Persistance!$K$1),Persistance!$B:$B,$A19,Persistance!$D:$D,J$5,Persistance!$A:$A,"Consumer")*1000</f>
        <v>0</v>
      </c>
      <c r="K19" s="51">
        <f ca="1">SUMIFS(OFFSET(Persistance!$K:$K,0,$A$2-Persistance!$K$1),Persistance!$B:$B,$A19,Persistance!$D:$D,K$5,Persistance!$A:$A,"Consumer")*1000</f>
        <v>0</v>
      </c>
      <c r="L19" s="34">
        <f t="shared" ca="1" si="2"/>
        <v>49839.818477423185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1">
        <f ca="1">SUMIFS(OFFSET(Persistance!$K:$K,0,$A$2-Persistance!$K$1),Persistance!$B:$B,$A20,Persistance!$D:$D,B$5,Persistance!$A:$A,"Consumer")*1000</f>
        <v>51132.664969399761</v>
      </c>
      <c r="C20" s="51">
        <f ca="1">SUMIFS(OFFSET(Persistance!$K:$K,0,$A$2-Persistance!$K$1),Persistance!$B:$B,$A20,Persistance!$D:$D,C$5,Persistance!$A:$A,"Consumer")*1000</f>
        <v>38766.567338592635</v>
      </c>
      <c r="D20" s="51">
        <f ca="1">SUMIFS(OFFSET(Persistance!$K:$K,0,$A$2-Persistance!$K$1),Persistance!$B:$B,$A20,Persistance!$D:$D,D$5,Persistance!$A:$A,"Consumer")*1000</f>
        <v>1650.0041293999998</v>
      </c>
      <c r="E20" s="51">
        <f ca="1">SUMIFS(OFFSET(Persistance!$K:$K,0,$A$2-Persistance!$K$1),Persistance!$B:$B,$A20,Persistance!$D:$D,E$5,Persistance!$A:$A,"Consumer")*1000</f>
        <v>0</v>
      </c>
      <c r="F20" s="51">
        <f ca="1">SUMIFS(OFFSET(Persistance!$K:$K,0,$A$2-Persistance!$K$1),Persistance!$B:$B,$A20,Persistance!$D:$D,F$5,Persistance!$A:$A,"Consumer")*1000</f>
        <v>0</v>
      </c>
      <c r="G20" s="51">
        <f ca="1">SUMIFS(OFFSET(Persistance!$K:$K,0,$A$2-Persistance!$K$1),Persistance!$B:$B,$A20,Persistance!$D:$D,G$5,Persistance!$A:$A,"Consumer")*1000</f>
        <v>0</v>
      </c>
      <c r="H20" s="51">
        <f ca="1">SUMIFS(OFFSET(Persistance!$K:$K,0,$A$2-Persistance!$K$1),Persistance!$B:$B,$A20,Persistance!$D:$D,H$5,Persistance!$A:$A,"Consumer")*1000</f>
        <v>0</v>
      </c>
      <c r="I20" s="51">
        <f ca="1">SUMIFS(OFFSET(Persistance!$K:$K,0,$A$2-Persistance!$K$1),Persistance!$B:$B,$A20,Persistance!$D:$D,I$5,Persistance!$A:$A,"Consumer")*1000</f>
        <v>0</v>
      </c>
      <c r="J20" s="51">
        <f ca="1">SUMIFS(OFFSET(Persistance!$K:$K,0,$A$2-Persistance!$K$1),Persistance!$B:$B,$A20,Persistance!$D:$D,J$5,Persistance!$A:$A,"Consumer")*1000</f>
        <v>0</v>
      </c>
      <c r="K20" s="51">
        <f ca="1">SUMIFS(OFFSET(Persistance!$K:$K,0,$A$2-Persistance!$K$1),Persistance!$B:$B,$A20,Persistance!$D:$D,K$5,Persistance!$A:$A,"Consumer")*1000</f>
        <v>0</v>
      </c>
      <c r="L20" s="34">
        <f t="shared" ca="1" si="2"/>
        <v>91549.236437392392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53</v>
      </c>
      <c r="B21" s="51">
        <f ca="1">SUMIFS(OFFSET(Persistance!$K:$K,0,$A$2-Persistance!$K$1),Persistance!$B:$B,$A21,Persistance!$D:$D,B$5,Persistance!$A:$A,"Consumer")*1000</f>
        <v>0</v>
      </c>
      <c r="C21" s="51">
        <f ca="1">SUMIFS(OFFSET(Persistance!$K:$K,0,$A$2-Persistance!$K$1),Persistance!$B:$B,$A21,Persistance!$D:$D,C$5,Persistance!$A:$A,"Consumer")*1000</f>
        <v>0</v>
      </c>
      <c r="D21" s="51">
        <f ca="1">SUMIFS(OFFSET(Persistance!$K:$K,0,$A$2-Persistance!$K$1),Persistance!$B:$B,$A21,Persistance!$D:$D,D$5,Persistance!$A:$A,"Consumer")*1000</f>
        <v>0</v>
      </c>
      <c r="E21" s="51">
        <f ca="1">SUMIFS(OFFSET(Persistance!$K:$K,0,$A$2-Persistance!$K$1),Persistance!$B:$B,$A21,Persistance!$D:$D,E$5,Persistance!$A:$A,"Consumer")*1000</f>
        <v>0</v>
      </c>
      <c r="F21" s="51">
        <f ca="1">SUMIFS(OFFSET(Persistance!$K:$K,0,$A$2-Persistance!$K$1),Persistance!$B:$B,$A21,Persistance!$D:$D,F$5,Persistance!$A:$A,"Consumer")*1000</f>
        <v>0</v>
      </c>
      <c r="G21" s="51">
        <f ca="1">SUMIFS(OFFSET(Persistance!$K:$K,0,$A$2-Persistance!$K$1),Persistance!$B:$B,$A21,Persistance!$D:$D,G$5,Persistance!$A:$A,"Consumer")*1000</f>
        <v>0</v>
      </c>
      <c r="H21" s="51">
        <f ca="1">SUMIFS(OFFSET(Persistance!$K:$K,0,$A$2-Persistance!$K$1),Persistance!$B:$B,$A21,Persistance!$D:$D,H$5,Persistance!$A:$A,"Consumer")*1000</f>
        <v>0</v>
      </c>
      <c r="I21" s="51">
        <f ca="1">SUMIFS(OFFSET(Persistance!$K:$K,0,$A$2-Persistance!$K$1),Persistance!$B:$B,$A21,Persistance!$D:$D,I$5,Persistance!$A:$A,"Consumer")*1000</f>
        <v>0</v>
      </c>
      <c r="J21" s="51">
        <f ca="1">SUMIFS(OFFSET(Persistance!$K:$K,0,$A$2-Persistance!$K$1),Persistance!$B:$B,$A21,Persistance!$D:$D,J$5,Persistance!$A:$A,"Consumer")*1000</f>
        <v>0</v>
      </c>
      <c r="K21" s="51">
        <f ca="1">SUMIFS(OFFSET(Persistance!$K:$K,0,$A$2-Persistance!$K$1),Persistance!$B:$B,$A21,Persistance!$D:$D,K$5,Persistance!$A:$A,"Consumer")*1000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62</v>
      </c>
      <c r="B22" s="51">
        <f ca="1">SUMIFS(OFFSET(Persistance!$K:$K,0,$A$2-Persistance!$K$1),Persistance!$B:$B,$A22,Persistance!$D:$D,B$5,Persistance!$A:$A,"Consumer")*1000</f>
        <v>0</v>
      </c>
      <c r="C22" s="51">
        <f ca="1">SUMIFS(OFFSET(Persistance!$K:$K,0,$A$2-Persistance!$K$1),Persistance!$B:$B,$A22,Persistance!$D:$D,C$5,Persistance!$A:$A,"Consumer")*1000</f>
        <v>0</v>
      </c>
      <c r="D22" s="51">
        <f ca="1">SUMIFS(OFFSET(Persistance!$K:$K,0,$A$2-Persistance!$K$1),Persistance!$B:$B,$A22,Persistance!$D:$D,D$5,Persistance!$A:$A,"Consumer")*1000</f>
        <v>0</v>
      </c>
      <c r="E22" s="51">
        <f ca="1">SUMIFS(OFFSET(Persistance!$K:$K,0,$A$2-Persistance!$K$1),Persistance!$B:$B,$A22,Persistance!$D:$D,E$5,Persistance!$A:$A,"Consumer")*1000</f>
        <v>0</v>
      </c>
      <c r="F22" s="51">
        <f ca="1">SUMIFS(OFFSET(Persistance!$K:$K,0,$A$2-Persistance!$K$1),Persistance!$B:$B,$A22,Persistance!$D:$D,F$5,Persistance!$A:$A,"Consumer")*1000</f>
        <v>0</v>
      </c>
      <c r="G22" s="51">
        <f ca="1">SUMIFS(OFFSET(Persistance!$K:$K,0,$A$2-Persistance!$K$1),Persistance!$B:$B,$A22,Persistance!$D:$D,G$5,Persistance!$A:$A,"Consumer")*1000</f>
        <v>0</v>
      </c>
      <c r="H22" s="51">
        <f ca="1">SUMIFS(OFFSET(Persistance!$K:$K,0,$A$2-Persistance!$K$1),Persistance!$B:$B,$A22,Persistance!$D:$D,H$5,Persistance!$A:$A,"Consumer")*1000</f>
        <v>0</v>
      </c>
      <c r="I22" s="51">
        <f ca="1">SUMIFS(OFFSET(Persistance!$K:$K,0,$A$2-Persistance!$K$1),Persistance!$B:$B,$A22,Persistance!$D:$D,I$5,Persistance!$A:$A,"Consumer")*1000</f>
        <v>0</v>
      </c>
      <c r="J22" s="51">
        <f ca="1">SUMIFS(OFFSET(Persistance!$K:$K,0,$A$2-Persistance!$K$1),Persistance!$B:$B,$A22,Persistance!$D:$D,J$5,Persistance!$A:$A,"Consumer")*1000</f>
        <v>0</v>
      </c>
      <c r="K22" s="51">
        <f ca="1">SUMIFS(OFFSET(Persistance!$K:$K,0,$A$2-Persistance!$K$1),Persistance!$B:$B,$A22,Persistance!$D:$D,K$5,Persistance!$A:$A,"Consumer")*1000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70</v>
      </c>
      <c r="B23" s="51">
        <f ca="1">SUMIFS(OFFSET(Persistance!$K:$K,0,$A$2-Persistance!$K$1),Persistance!$B:$B,$A23,Persistance!$D:$D,B$5,Persistance!$A:$A,"Consumer")*1000</f>
        <v>0</v>
      </c>
      <c r="C23" s="51">
        <f ca="1">SUMIFS(OFFSET(Persistance!$K:$K,0,$A$2-Persistance!$K$1),Persistance!$B:$B,$A23,Persistance!$D:$D,C$5,Persistance!$A:$A,"Consumer")*1000</f>
        <v>0</v>
      </c>
      <c r="D23" s="51">
        <f ca="1">SUMIFS(OFFSET(Persistance!$K:$K,0,$A$2-Persistance!$K$1),Persistance!$B:$B,$A23,Persistance!$D:$D,D$5,Persistance!$A:$A,"Consumer")*1000</f>
        <v>0</v>
      </c>
      <c r="E23" s="51">
        <f ca="1">SUMIFS(OFFSET(Persistance!$K:$K,0,$A$2-Persistance!$K$1),Persistance!$B:$B,$A23,Persistance!$D:$D,E$5,Persistance!$A:$A,"Consumer")*1000</f>
        <v>0</v>
      </c>
      <c r="F23" s="51">
        <f ca="1">SUMIFS(OFFSET(Persistance!$K:$K,0,$A$2-Persistance!$K$1),Persistance!$B:$B,$A23,Persistance!$D:$D,F$5,Persistance!$A:$A,"Consumer")*1000</f>
        <v>0</v>
      </c>
      <c r="G23" s="51">
        <f ca="1">SUMIFS(OFFSET(Persistance!$K:$K,0,$A$2-Persistance!$K$1),Persistance!$B:$B,$A23,Persistance!$D:$D,G$5,Persistance!$A:$A,"Consumer")*1000</f>
        <v>0</v>
      </c>
      <c r="H23" s="51">
        <f ca="1">SUMIFS(OFFSET(Persistance!$K:$K,0,$A$2-Persistance!$K$1),Persistance!$B:$B,$A23,Persistance!$D:$D,H$5,Persistance!$A:$A,"Consumer")*1000</f>
        <v>0</v>
      </c>
      <c r="I23" s="51">
        <f ca="1">SUMIFS(OFFSET(Persistance!$K:$K,0,$A$2-Persistance!$K$1),Persistance!$B:$B,$A23,Persistance!$D:$D,I$5,Persistance!$A:$A,"Consumer")*1000</f>
        <v>0</v>
      </c>
      <c r="J23" s="51">
        <f ca="1">SUMIFS(OFFSET(Persistance!$K:$K,0,$A$2-Persistance!$K$1),Persistance!$B:$B,$A23,Persistance!$D:$D,J$5,Persistance!$A:$A,"Consumer")*1000</f>
        <v>0</v>
      </c>
      <c r="K23" s="51">
        <f ca="1">SUMIFS(OFFSET(Persistance!$K:$K,0,$A$2-Persistance!$K$1),Persistance!$B:$B,$A23,Persistance!$D:$D,K$5,Persistance!$A:$A,"Consumer")*1000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71</v>
      </c>
      <c r="B24" s="51">
        <f ca="1">SUMIFS(OFFSET(Persistance!$K:$K,0,$A$2-Persistance!$K$1),Persistance!$B:$B,$A24,Persistance!$D:$D,B$5,Persistance!$A:$A,"Consumer")*1000</f>
        <v>0</v>
      </c>
      <c r="C24" s="51">
        <f ca="1">SUMIFS(OFFSET(Persistance!$K:$K,0,$A$2-Persistance!$K$1),Persistance!$B:$B,$A24,Persistance!$D:$D,C$5,Persistance!$A:$A,"Consumer")*1000</f>
        <v>0</v>
      </c>
      <c r="D24" s="51">
        <f ca="1">SUMIFS(OFFSET(Persistance!$K:$K,0,$A$2-Persistance!$K$1),Persistance!$B:$B,$A24,Persistance!$D:$D,D$5,Persistance!$A:$A,"Consumer")*1000</f>
        <v>0</v>
      </c>
      <c r="E24" s="51">
        <f ca="1">SUMIFS(OFFSET(Persistance!$K:$K,0,$A$2-Persistance!$K$1),Persistance!$B:$B,$A24,Persistance!$D:$D,E$5,Persistance!$A:$A,"Consumer")*1000</f>
        <v>0</v>
      </c>
      <c r="F24" s="51">
        <f ca="1">SUMIFS(OFFSET(Persistance!$K:$K,0,$A$2-Persistance!$K$1),Persistance!$B:$B,$A24,Persistance!$D:$D,F$5,Persistance!$A:$A,"Consumer")*1000</f>
        <v>0</v>
      </c>
      <c r="G24" s="51">
        <f ca="1">SUMIFS(OFFSET(Persistance!$K:$K,0,$A$2-Persistance!$K$1),Persistance!$B:$B,$A24,Persistance!$D:$D,G$5,Persistance!$A:$A,"Consumer")*1000</f>
        <v>0</v>
      </c>
      <c r="H24" s="51">
        <f ca="1">SUMIFS(OFFSET(Persistance!$K:$K,0,$A$2-Persistance!$K$1),Persistance!$B:$B,$A24,Persistance!$D:$D,H$5,Persistance!$A:$A,"Consumer")*1000</f>
        <v>0</v>
      </c>
      <c r="I24" s="51">
        <f ca="1">SUMIFS(OFFSET(Persistance!$K:$K,0,$A$2-Persistance!$K$1),Persistance!$B:$B,$A24,Persistance!$D:$D,I$5,Persistance!$A:$A,"Consumer")*1000</f>
        <v>0</v>
      </c>
      <c r="J24" s="51">
        <f ca="1">SUMIFS(OFFSET(Persistance!$K:$K,0,$A$2-Persistance!$K$1),Persistance!$B:$B,$A24,Persistance!$D:$D,J$5,Persistance!$A:$A,"Consumer")*1000</f>
        <v>0</v>
      </c>
      <c r="K24" s="51">
        <f ca="1">SUMIFS(OFFSET(Persistance!$K:$K,0,$A$2-Persistance!$K$1),Persistance!$B:$B,$A24,Persistance!$D:$D,K$5,Persistance!$A:$A,"Consumer")*1000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39</v>
      </c>
      <c r="B25" s="51">
        <f ca="1">SUMIFS(OFFSET(Persistance!$K:$K,0,$A$2-Persistance!$K$1),Persistance!$B:$B,$A25,Persistance!$D:$D,B$5,Persistance!$A:$A,"Consumer")*1000</f>
        <v>0</v>
      </c>
      <c r="C25" s="51">
        <f ca="1">SUMIFS(OFFSET(Persistance!$K:$K,0,$A$2-Persistance!$K$1),Persistance!$B:$B,$A25,Persistance!$D:$D,C$5,Persistance!$A:$A,"Consumer")*1000</f>
        <v>0</v>
      </c>
      <c r="D25" s="51">
        <f ca="1">SUMIFS(OFFSET(Persistance!$K:$K,0,$A$2-Persistance!$K$1),Persistance!$B:$B,$A25,Persistance!$D:$D,D$5,Persistance!$A:$A,"Consumer")*1000</f>
        <v>0</v>
      </c>
      <c r="E25" s="51">
        <f ca="1">SUMIFS(OFFSET(Persistance!$K:$K,0,$A$2-Persistance!$K$1),Persistance!$B:$B,$A25,Persistance!$D:$D,E$5,Persistance!$A:$A,"Consumer")*1000</f>
        <v>0</v>
      </c>
      <c r="F25" s="51">
        <f ca="1">SUMIFS(OFFSET(Persistance!$K:$K,0,$A$2-Persistance!$K$1),Persistance!$B:$B,$A25,Persistance!$D:$D,F$5,Persistance!$A:$A,"Consumer")*1000</f>
        <v>0</v>
      </c>
      <c r="G25" s="51">
        <f ca="1">SUMIFS(OFFSET(Persistance!$K:$K,0,$A$2-Persistance!$K$1),Persistance!$B:$B,$A25,Persistance!$D:$D,G$5,Persistance!$A:$A,"Consumer")*1000</f>
        <v>0</v>
      </c>
      <c r="H25" s="51">
        <f ca="1">SUMIFS(OFFSET(Persistance!$K:$K,0,$A$2-Persistance!$K$1),Persistance!$B:$B,$A25,Persistance!$D:$D,H$5,Persistance!$A:$A,"Consumer")*1000</f>
        <v>0</v>
      </c>
      <c r="I25" s="51">
        <f ca="1">SUMIFS(OFFSET(Persistance!$K:$K,0,$A$2-Persistance!$K$1),Persistance!$B:$B,$A25,Persistance!$D:$D,I$5,Persistance!$A:$A,"Consumer")*1000</f>
        <v>0</v>
      </c>
      <c r="J25" s="51">
        <f ca="1">SUMIFS(OFFSET(Persistance!$K:$K,0,$A$2-Persistance!$K$1),Persistance!$B:$B,$A25,Persistance!$D:$D,J$5,Persistance!$A:$A,"Consumer")*1000</f>
        <v>0</v>
      </c>
      <c r="K25" s="51">
        <f ca="1">SUMIFS(OFFSET(Persistance!$K:$K,0,$A$2-Persistance!$K$1),Persistance!$B:$B,$A25,Persistance!$D:$D,K$5,Persistance!$A:$A,"Consumer")*1000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54</v>
      </c>
      <c r="B26" s="51">
        <f ca="1">SUMIFS(OFFSET(Persistance!$K:$K,0,$A$2-Persistance!$K$1),Persistance!$B:$B,$A26,Persistance!$D:$D,B$5,Persistance!$A:$A,"Consumer")*1000</f>
        <v>0</v>
      </c>
      <c r="C26" s="51">
        <f ca="1">SUMIFS(OFFSET(Persistance!$K:$K,0,$A$2-Persistance!$K$1),Persistance!$B:$B,$A26,Persistance!$D:$D,C$5,Persistance!$A:$A,"Consumer")*1000</f>
        <v>0</v>
      </c>
      <c r="D26" s="51">
        <f ca="1">SUMIFS(OFFSET(Persistance!$K:$K,0,$A$2-Persistance!$K$1),Persistance!$B:$B,$A26,Persistance!$D:$D,D$5,Persistance!$A:$A,"Consumer")*1000</f>
        <v>0</v>
      </c>
      <c r="E26" s="51">
        <f ca="1">SUMIFS(OFFSET(Persistance!$K:$K,0,$A$2-Persistance!$K$1),Persistance!$B:$B,$A26,Persistance!$D:$D,E$5,Persistance!$A:$A,"Consumer")*1000</f>
        <v>0</v>
      </c>
      <c r="F26" s="51">
        <f ca="1">SUMIFS(OFFSET(Persistance!$K:$K,0,$A$2-Persistance!$K$1),Persistance!$B:$B,$A26,Persistance!$D:$D,F$5,Persistance!$A:$A,"Consumer")*1000</f>
        <v>0</v>
      </c>
      <c r="G26" s="51">
        <f ca="1">SUMIFS(OFFSET(Persistance!$K:$K,0,$A$2-Persistance!$K$1),Persistance!$B:$B,$A26,Persistance!$D:$D,G$5,Persistance!$A:$A,"Consumer")*1000</f>
        <v>0</v>
      </c>
      <c r="H26" s="51">
        <f ca="1">SUMIFS(OFFSET(Persistance!$K:$K,0,$A$2-Persistance!$K$1),Persistance!$B:$B,$A26,Persistance!$D:$D,H$5,Persistance!$A:$A,"Consumer")*1000</f>
        <v>0</v>
      </c>
      <c r="I26" s="51">
        <f ca="1">SUMIFS(OFFSET(Persistance!$K:$K,0,$A$2-Persistance!$K$1),Persistance!$B:$B,$A26,Persistance!$D:$D,I$5,Persistance!$A:$A,"Consumer")*1000</f>
        <v>0</v>
      </c>
      <c r="J26" s="51">
        <f ca="1">SUMIFS(OFFSET(Persistance!$K:$K,0,$A$2-Persistance!$K$1),Persistance!$B:$B,$A26,Persistance!$D:$D,J$5,Persistance!$A:$A,"Consumer")*1000</f>
        <v>0</v>
      </c>
      <c r="K26" s="51">
        <f ca="1">SUMIFS(OFFSET(Persistance!$K:$K,0,$A$2-Persistance!$K$1),Persistance!$B:$B,$A26,Persistance!$D:$D,K$5,Persistance!$A:$A,"Consumer")*1000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38</v>
      </c>
      <c r="B27" s="51">
        <f ca="1">SUMIFS(OFFSET(Persistance!$K:$K,0,$A$2-Persistance!$K$1),Persistance!$B:$B,$A27,Persistance!$D:$D,B$5,Persistance!$A:$A,"Consumer")*1000</f>
        <v>0</v>
      </c>
      <c r="C27" s="51">
        <f ca="1">SUMIFS(OFFSET(Persistance!$K:$K,0,$A$2-Persistance!$K$1),Persistance!$B:$B,$A27,Persistance!$D:$D,C$5,Persistance!$A:$A,"Consumer")*1000</f>
        <v>0</v>
      </c>
      <c r="D27" s="51">
        <f ca="1">SUMIFS(OFFSET(Persistance!$K:$K,0,$A$2-Persistance!$K$1),Persistance!$B:$B,$A27,Persistance!$D:$D,D$5,Persistance!$A:$A,"Consumer")*1000</f>
        <v>0</v>
      </c>
      <c r="E27" s="51">
        <f ca="1">SUMIFS(OFFSET(Persistance!$K:$K,0,$A$2-Persistance!$K$1),Persistance!$B:$B,$A27,Persistance!$D:$D,E$5,Persistance!$A:$A,"Consumer")*1000</f>
        <v>0</v>
      </c>
      <c r="F27" s="51">
        <f ca="1">SUMIFS(OFFSET(Persistance!$K:$K,0,$A$2-Persistance!$K$1),Persistance!$B:$B,$A27,Persistance!$D:$D,F$5,Persistance!$A:$A,"Consumer")*1000</f>
        <v>0</v>
      </c>
      <c r="G27" s="51">
        <f ca="1">SUMIFS(OFFSET(Persistance!$K:$K,0,$A$2-Persistance!$K$1),Persistance!$B:$B,$A27,Persistance!$D:$D,G$5,Persistance!$A:$A,"Consumer")*1000</f>
        <v>0</v>
      </c>
      <c r="H27" s="51">
        <f ca="1">SUMIFS(OFFSET(Persistance!$K:$K,0,$A$2-Persistance!$K$1),Persistance!$B:$B,$A27,Persistance!$D:$D,H$5,Persistance!$A:$A,"Consumer")*1000</f>
        <v>0</v>
      </c>
      <c r="I27" s="51">
        <f ca="1">SUMIFS(OFFSET(Persistance!$K:$K,0,$A$2-Persistance!$K$1),Persistance!$B:$B,$A27,Persistance!$D:$D,I$5,Persistance!$A:$A,"Consumer")*1000</f>
        <v>0</v>
      </c>
      <c r="J27" s="51">
        <f ca="1">SUMIFS(OFFSET(Persistance!$K:$K,0,$A$2-Persistance!$K$1),Persistance!$B:$B,$A27,Persistance!$D:$D,J$5,Persistance!$A:$A,"Consumer")*1000</f>
        <v>0</v>
      </c>
      <c r="K27" s="51">
        <f ca="1">SUMIFS(OFFSET(Persistance!$K:$K,0,$A$2-Persistance!$K$1),Persistance!$B:$B,$A27,Persistance!$D:$D,K$5,Persistance!$A:$A,"Consumer")*1000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64</v>
      </c>
      <c r="B28" s="51">
        <f ca="1">SUMIFS(OFFSET(Persistance!$K:$K,0,$A$2-Persistance!$K$1),Persistance!$B:$B,$A28,Persistance!$D:$D,B$5,Persistance!$A:$A,"Consumer")*1000</f>
        <v>0</v>
      </c>
      <c r="C28" s="51">
        <f ca="1">SUMIFS(OFFSET(Persistance!$K:$K,0,$A$2-Persistance!$K$1),Persistance!$B:$B,$A28,Persistance!$D:$D,C$5,Persistance!$A:$A,"Consumer")*1000</f>
        <v>0</v>
      </c>
      <c r="D28" s="51">
        <f ca="1">SUMIFS(OFFSET(Persistance!$K:$K,0,$A$2-Persistance!$K$1),Persistance!$B:$B,$A28,Persistance!$D:$D,D$5,Persistance!$A:$A,"Consumer")*1000</f>
        <v>0</v>
      </c>
      <c r="E28" s="51">
        <f ca="1">SUMIFS(OFFSET(Persistance!$K:$K,0,$A$2-Persistance!$K$1),Persistance!$B:$B,$A28,Persistance!$D:$D,E$5,Persistance!$A:$A,"Consumer")*1000</f>
        <v>0</v>
      </c>
      <c r="F28" s="51">
        <f ca="1">SUMIFS(OFFSET(Persistance!$K:$K,0,$A$2-Persistance!$K$1),Persistance!$B:$B,$A28,Persistance!$D:$D,F$5,Persistance!$A:$A,"Consumer")*1000</f>
        <v>0</v>
      </c>
      <c r="G28" s="51">
        <f ca="1">SUMIFS(OFFSET(Persistance!$K:$K,0,$A$2-Persistance!$K$1),Persistance!$B:$B,$A28,Persistance!$D:$D,G$5,Persistance!$A:$A,"Consumer")*1000</f>
        <v>0</v>
      </c>
      <c r="H28" s="51">
        <f ca="1">SUMIFS(OFFSET(Persistance!$K:$K,0,$A$2-Persistance!$K$1),Persistance!$B:$B,$A28,Persistance!$D:$D,H$5,Persistance!$A:$A,"Consumer")*1000</f>
        <v>0</v>
      </c>
      <c r="I28" s="51">
        <f ca="1">SUMIFS(OFFSET(Persistance!$K:$K,0,$A$2-Persistance!$K$1),Persistance!$B:$B,$A28,Persistance!$D:$D,I$5,Persistance!$A:$A,"Consumer")*1000</f>
        <v>0</v>
      </c>
      <c r="J28" s="51">
        <f ca="1">SUMIFS(OFFSET(Persistance!$K:$K,0,$A$2-Persistance!$K$1),Persistance!$B:$B,$A28,Persistance!$D:$D,J$5,Persistance!$A:$A,"Consumer")*1000</f>
        <v>0</v>
      </c>
      <c r="K28" s="51">
        <f ca="1">SUMIFS(OFFSET(Persistance!$K:$K,0,$A$2-Persistance!$K$1),Persistance!$B:$B,$A28,Persistance!$D:$D,K$5,Persistance!$A:$A,"Consumer")*1000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48</v>
      </c>
      <c r="T28" s="28" t="s">
        <v>17</v>
      </c>
      <c r="U28" s="2" t="s">
        <v>49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2013</v>
      </c>
      <c r="T29" s="50">
        <f ca="1">AVERAGEIFS(Rates!E:E,Rates!F:F,'2013'!S29,Rates!G:G,"Consumer")</f>
        <v>1.46E-2</v>
      </c>
      <c r="U29" s="30">
        <f ca="1">AVERAGEIFS(Rates!B:B,Rates!F:F,'2013'!S29,Rates!G:G,"Consumer")</f>
        <v>41395</v>
      </c>
    </row>
    <row r="30" spans="1:21" x14ac:dyDescent="0.25">
      <c r="A30" t="s">
        <v>9</v>
      </c>
      <c r="B30" s="64">
        <f ca="1">SUM(B8:B29)</f>
        <v>152548.00402614445</v>
      </c>
      <c r="C30" s="64">
        <f ca="1">SUM(C8:C29)</f>
        <v>130336.28642700925</v>
      </c>
      <c r="D30" s="64">
        <f ca="1">SUM(D8:D29)</f>
        <v>148771.55243838477</v>
      </c>
      <c r="E30" s="64">
        <f t="shared" ref="E30:K30" ca="1" si="3">SUM(E8:E29)</f>
        <v>0</v>
      </c>
      <c r="F30" s="64">
        <f t="shared" ca="1" si="3"/>
        <v>0</v>
      </c>
      <c r="G30" s="64">
        <f t="shared" ca="1" si="3"/>
        <v>0</v>
      </c>
      <c r="H30" s="64">
        <f t="shared" ca="1" si="3"/>
        <v>0</v>
      </c>
      <c r="I30" s="64">
        <f t="shared" ca="1" si="3"/>
        <v>0</v>
      </c>
      <c r="J30" s="64">
        <f t="shared" ca="1" si="3"/>
        <v>0</v>
      </c>
      <c r="K30" s="64">
        <f t="shared" ca="1" si="3"/>
        <v>0</v>
      </c>
      <c r="L30" s="64">
        <f ca="1">SUM(L8:L29)</f>
        <v>431655.8428915384</v>
      </c>
      <c r="M30" s="64">
        <f>Summary!$H$6</f>
        <v>522335</v>
      </c>
      <c r="N30" s="64">
        <f ca="1">(((MONTH(U29)-1)/12)*T30)+(((12-(MONTH(U29)-1))/12)*T29)</f>
        <v>1.4566666666666667E-2</v>
      </c>
      <c r="O30" s="64">
        <f ca="1">ROUND(L30*N30,2)</f>
        <v>6287.79</v>
      </c>
      <c r="P30" s="64">
        <f ca="1">ROUND(M30*N30,2)</f>
        <v>7608.68</v>
      </c>
      <c r="Q30" s="64">
        <f ca="1">+O30-P30</f>
        <v>-1320.8900000000003</v>
      </c>
      <c r="R30" s="2"/>
      <c r="S30" s="29">
        <f ca="1">S29-1</f>
        <v>2012</v>
      </c>
      <c r="T30" s="50">
        <f ca="1">AVERAGEIFS(Rates!E:E,Rates!F:F,'2013'!S30,Rates!G:G,"Consumer")</f>
        <v>1.4500000000000001E-2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44</v>
      </c>
      <c r="B32" s="51">
        <f ca="1">SUMIFS(OFFSET(Persistance!$K:$K,0,$A$2-Persistance!$K$1),Persistance!$B:$B,$A32,Persistance!$D:$D,B$5,Persistance!$A:$A,"Business")*1000</f>
        <v>0</v>
      </c>
      <c r="C32" s="51">
        <f ca="1">SUMIFS(OFFSET(Persistance!$K:$K,0,$A$2-Persistance!$K$1),Persistance!$B:$B,$A32,Persistance!$D:$D,C$5,Persistance!$A:$A,"Business")*1000</f>
        <v>0</v>
      </c>
      <c r="D32" s="51">
        <f ca="1">SUMIFS(OFFSET(Persistance!$K:$K,0,$A$2-Persistance!$K$1),Persistance!$B:$B,$A32,Persistance!$D:$D,D$5,Persistance!$A:$A,"Business")*1000</f>
        <v>0</v>
      </c>
      <c r="E32" s="51">
        <f ca="1">SUMIFS(OFFSET(Persistance!$K:$K,0,$A$2-Persistance!$K$1),Persistance!$B:$B,$A32,Persistance!$D:$D,E$5,Persistance!$A:$A,"Business")*1000</f>
        <v>0</v>
      </c>
      <c r="F32" s="51">
        <f ca="1">SUMIFS(OFFSET(Persistance!$K:$K,0,$A$2-Persistance!$K$1),Persistance!$B:$B,$A32,Persistance!$D:$D,F$5,Persistance!$A:$A,"Business")*1000</f>
        <v>0</v>
      </c>
      <c r="G32" s="51">
        <f ca="1">SUMIFS(OFFSET(Persistance!$K:$K,0,$A$2-Persistance!$K$1),Persistance!$B:$B,$A32,Persistance!$D:$D,G$5,Persistance!$A:$A,"Business")*1000</f>
        <v>0</v>
      </c>
      <c r="H32" s="51">
        <f ca="1">SUMIFS(OFFSET(Persistance!$K:$K,0,$A$2-Persistance!$K$1),Persistance!$B:$B,$A32,Persistance!$D:$D,H$5,Persistance!$A:$A,"Business")*1000</f>
        <v>0</v>
      </c>
      <c r="I32" s="51">
        <f ca="1">SUMIFS(OFFSET(Persistance!$K:$K,0,$A$2-Persistance!$K$1),Persistance!$B:$B,$A32,Persistance!$D:$D,I$5,Persistance!$A:$A,"Business")*1000</f>
        <v>0</v>
      </c>
      <c r="J32" s="51">
        <f ca="1">SUMIFS(OFFSET(Persistance!$K:$K,0,$A$2-Persistance!$K$1),Persistance!$B:$B,$A32,Persistance!$D:$D,J$5,Persistance!$A:$A,"Business")*1000</f>
        <v>0</v>
      </c>
      <c r="K32" s="51">
        <f ca="1">SUMIFS(OFFSET(Persistance!$K:$K,0,$A$2-Persistance!$K$1),Persistance!$B:$B,$A32,Persistance!$D:$D,K$5,Persistance!$A:$A,"Business")*1000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66</v>
      </c>
      <c r="B33" s="51">
        <f ca="1">SUMIFS(OFFSET(Persistance!$K:$K,0,$A$2-Persistance!$K$1),Persistance!$B:$B,$A33,Persistance!$D:$D,B$5,Persistance!$A:$A,"Business")*1000</f>
        <v>0</v>
      </c>
      <c r="C33" s="51">
        <f ca="1">SUMIFS(OFFSET(Persistance!$K:$K,0,$A$2-Persistance!$K$1),Persistance!$B:$B,$A33,Persistance!$D:$D,C$5,Persistance!$A:$A,"Business")*1000</f>
        <v>0</v>
      </c>
      <c r="D33" s="51">
        <f ca="1">SUMIFS(OFFSET(Persistance!$K:$K,0,$A$2-Persistance!$K$1),Persistance!$B:$B,$A33,Persistance!$D:$D,D$5,Persistance!$A:$A,"Business")*1000</f>
        <v>0</v>
      </c>
      <c r="E33" s="51">
        <f ca="1">SUMIFS(OFFSET(Persistance!$K:$K,0,$A$2-Persistance!$K$1),Persistance!$B:$B,$A33,Persistance!$D:$D,E$5,Persistance!$A:$A,"Business")*1000</f>
        <v>0</v>
      </c>
      <c r="F33" s="51">
        <f ca="1">SUMIFS(OFFSET(Persistance!$K:$K,0,$A$2-Persistance!$K$1),Persistance!$B:$B,$A33,Persistance!$D:$D,F$5,Persistance!$A:$A,"Business")*1000</f>
        <v>0</v>
      </c>
      <c r="G33" s="51">
        <f ca="1">SUMIFS(OFFSET(Persistance!$K:$K,0,$A$2-Persistance!$K$1),Persistance!$B:$B,$A33,Persistance!$D:$D,G$5,Persistance!$A:$A,"Business")*1000</f>
        <v>0</v>
      </c>
      <c r="H33" s="51">
        <f ca="1">SUMIFS(OFFSET(Persistance!$K:$K,0,$A$2-Persistance!$K$1),Persistance!$B:$B,$A33,Persistance!$D:$D,H$5,Persistance!$A:$A,"Business")*1000</f>
        <v>0</v>
      </c>
      <c r="I33" s="51">
        <f ca="1">SUMIFS(OFFSET(Persistance!$K:$K,0,$A$2-Persistance!$K$1),Persistance!$B:$B,$A33,Persistance!$D:$D,I$5,Persistance!$A:$A,"Business")*1000</f>
        <v>0</v>
      </c>
      <c r="J33" s="51">
        <f ca="1">SUMIFS(OFFSET(Persistance!$K:$K,0,$A$2-Persistance!$K$1),Persistance!$B:$B,$A33,Persistance!$D:$D,J$5,Persistance!$A:$A,"Business")*1000</f>
        <v>0</v>
      </c>
      <c r="K33" s="51">
        <f ca="1">SUMIFS(OFFSET(Persistance!$K:$K,0,$A$2-Persistance!$K$1),Persistance!$B:$B,$A33,Persistance!$D:$D,K$5,Persistance!$A:$A,"Business")*1000</f>
        <v>0</v>
      </c>
      <c r="L33" s="34">
        <f t="shared" ref="L33:L49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65</v>
      </c>
      <c r="B34" s="51">
        <f ca="1">SUMIFS(OFFSET(Persistance!$K:$K,0,$A$2-Persistance!$K$1),Persistance!$B:$B,$A34,Persistance!$D:$D,B$5,Persistance!$A:$A,"Business")*1000</f>
        <v>0</v>
      </c>
      <c r="C34" s="51">
        <f ca="1">SUMIFS(OFFSET(Persistance!$K:$K,0,$A$2-Persistance!$K$1),Persistance!$B:$B,$A34,Persistance!$D:$D,C$5,Persistance!$A:$A,"Business")*1000</f>
        <v>0</v>
      </c>
      <c r="D34" s="51">
        <f ca="1">SUMIFS(OFFSET(Persistance!$K:$K,0,$A$2-Persistance!$K$1),Persistance!$B:$B,$A34,Persistance!$D:$D,D$5,Persistance!$A:$A,"Business")*1000</f>
        <v>0</v>
      </c>
      <c r="E34" s="51">
        <f ca="1">SUMIFS(OFFSET(Persistance!$K:$K,0,$A$2-Persistance!$K$1),Persistance!$B:$B,$A34,Persistance!$D:$D,E$5,Persistance!$A:$A,"Business")*1000</f>
        <v>0</v>
      </c>
      <c r="F34" s="51">
        <f ca="1">SUMIFS(OFFSET(Persistance!$K:$K,0,$A$2-Persistance!$K$1),Persistance!$B:$B,$A34,Persistance!$D:$D,F$5,Persistance!$A:$A,"Business")*1000</f>
        <v>0</v>
      </c>
      <c r="G34" s="51">
        <f ca="1">SUMIFS(OFFSET(Persistance!$K:$K,0,$A$2-Persistance!$K$1),Persistance!$B:$B,$A34,Persistance!$D:$D,G$5,Persistance!$A:$A,"Business")*1000</f>
        <v>0</v>
      </c>
      <c r="H34" s="51">
        <f ca="1">SUMIFS(OFFSET(Persistance!$K:$K,0,$A$2-Persistance!$K$1),Persistance!$B:$B,$A34,Persistance!$D:$D,H$5,Persistance!$A:$A,"Business")*1000</f>
        <v>0</v>
      </c>
      <c r="I34" s="51">
        <f ca="1">SUMIFS(OFFSET(Persistance!$K:$K,0,$A$2-Persistance!$K$1),Persistance!$B:$B,$A34,Persistance!$D:$D,I$5,Persistance!$A:$A,"Business")*1000</f>
        <v>0</v>
      </c>
      <c r="J34" s="51">
        <f ca="1">SUMIFS(OFFSET(Persistance!$K:$K,0,$A$2-Persistance!$K$1),Persistance!$B:$B,$A34,Persistance!$D:$D,J$5,Persistance!$A:$A,"Business")*1000</f>
        <v>0</v>
      </c>
      <c r="K34" s="51">
        <f ca="1">SUMIFS(OFFSET(Persistance!$K:$K,0,$A$2-Persistance!$K$1),Persistance!$B:$B,$A34,Persistance!$D:$D,K$5,Persistance!$A:$A,"Business")*1000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42</v>
      </c>
      <c r="B35" s="51">
        <f ca="1">SUMIFS(OFFSET(Persistance!$K:$K,0,$A$2-Persistance!$K$1),Persistance!$B:$B,$A35,Persistance!$D:$D,B$5,Persistance!$A:$A,"Business")*1000</f>
        <v>0</v>
      </c>
      <c r="C35" s="51">
        <f ca="1">SUMIFS(OFFSET(Persistance!$K:$K,0,$A$2-Persistance!$K$1),Persistance!$B:$B,$A35,Persistance!$D:$D,C$5,Persistance!$A:$A,"Business")*1000</f>
        <v>0</v>
      </c>
      <c r="D35" s="51">
        <f ca="1">SUMIFS(OFFSET(Persistance!$K:$K,0,$A$2-Persistance!$K$1),Persistance!$B:$B,$A35,Persistance!$D:$D,D$5,Persistance!$A:$A,"Business")*1000</f>
        <v>0</v>
      </c>
      <c r="E35" s="51">
        <f ca="1">SUMIFS(OFFSET(Persistance!$K:$K,0,$A$2-Persistance!$K$1),Persistance!$B:$B,$A35,Persistance!$D:$D,E$5,Persistance!$A:$A,"Business")*1000</f>
        <v>0</v>
      </c>
      <c r="F35" s="51">
        <f ca="1">SUMIFS(OFFSET(Persistance!$K:$K,0,$A$2-Persistance!$K$1),Persistance!$B:$B,$A35,Persistance!$D:$D,F$5,Persistance!$A:$A,"Business")*1000</f>
        <v>0</v>
      </c>
      <c r="G35" s="51">
        <f ca="1">SUMIFS(OFFSET(Persistance!$K:$K,0,$A$2-Persistance!$K$1),Persistance!$B:$B,$A35,Persistance!$D:$D,G$5,Persistance!$A:$A,"Business")*1000</f>
        <v>0</v>
      </c>
      <c r="H35" s="51">
        <f ca="1">SUMIFS(OFFSET(Persistance!$K:$K,0,$A$2-Persistance!$K$1),Persistance!$B:$B,$A35,Persistance!$D:$D,H$5,Persistance!$A:$A,"Business")*1000</f>
        <v>0</v>
      </c>
      <c r="I35" s="51">
        <f ca="1">SUMIFS(OFFSET(Persistance!$K:$K,0,$A$2-Persistance!$K$1),Persistance!$B:$B,$A35,Persistance!$D:$D,I$5,Persistance!$A:$A,"Business")*1000</f>
        <v>0</v>
      </c>
      <c r="J35" s="51">
        <f ca="1">SUMIFS(OFFSET(Persistance!$K:$K,0,$A$2-Persistance!$K$1),Persistance!$B:$B,$A35,Persistance!$D:$D,J$5,Persistance!$A:$A,"Business")*1000</f>
        <v>0</v>
      </c>
      <c r="K35" s="51">
        <f ca="1">SUMIFS(OFFSET(Persistance!$K:$K,0,$A$2-Persistance!$K$1),Persistance!$B:$B,$A35,Persistance!$D:$D,K$5,Persistance!$A:$A,"Business")*1000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1">
        <f ca="1">SUMIFS(OFFSET(Persistance!$K:$K,0,$A$2-Persistance!$K$1),Persistance!$B:$B,$A36,Persistance!$D:$D,B$5,Persistance!$A:$A,"Business")*1000</f>
        <v>272306.3145087288</v>
      </c>
      <c r="C36" s="51">
        <f ca="1">SUMIFS(OFFSET(Persistance!$K:$K,0,$A$2-Persistance!$K$1),Persistance!$B:$B,$A36,Persistance!$D:$D,C$5,Persistance!$A:$A,"Business")*1000</f>
        <v>225554.94849308839</v>
      </c>
      <c r="D36" s="51">
        <f ca="1">SUMIFS(OFFSET(Persistance!$K:$K,0,$A$2-Persistance!$K$1),Persistance!$B:$B,$A36,Persistance!$D:$D,D$5,Persistance!$A:$A,"Business")*1000</f>
        <v>0</v>
      </c>
      <c r="E36" s="51">
        <f ca="1">SUMIFS(OFFSET(Persistance!$K:$K,0,$A$2-Persistance!$K$1),Persistance!$B:$B,$A36,Persistance!$D:$D,E$5,Persistance!$A:$A,"Business")*1000</f>
        <v>0</v>
      </c>
      <c r="F36" s="51">
        <f ca="1">SUMIFS(OFFSET(Persistance!$K:$K,0,$A$2-Persistance!$K$1),Persistance!$B:$B,$A36,Persistance!$D:$D,F$5,Persistance!$A:$A,"Business")*1000</f>
        <v>0</v>
      </c>
      <c r="G36" s="51">
        <f ca="1">SUMIFS(OFFSET(Persistance!$K:$K,0,$A$2-Persistance!$K$1),Persistance!$B:$B,$A36,Persistance!$D:$D,G$5,Persistance!$A:$A,"Business")*1000</f>
        <v>0</v>
      </c>
      <c r="H36" s="51">
        <f ca="1">SUMIFS(OFFSET(Persistance!$K:$K,0,$A$2-Persistance!$K$1),Persistance!$B:$B,$A36,Persistance!$D:$D,H$5,Persistance!$A:$A,"Business")*1000</f>
        <v>0</v>
      </c>
      <c r="I36" s="51">
        <f ca="1">SUMIFS(OFFSET(Persistance!$K:$K,0,$A$2-Persistance!$K$1),Persistance!$B:$B,$A36,Persistance!$D:$D,I$5,Persistance!$A:$A,"Business")*1000</f>
        <v>0</v>
      </c>
      <c r="J36" s="51">
        <f ca="1">SUMIFS(OFFSET(Persistance!$K:$K,0,$A$2-Persistance!$K$1),Persistance!$B:$B,$A36,Persistance!$D:$D,J$5,Persistance!$A:$A,"Business")*1000</f>
        <v>0</v>
      </c>
      <c r="K36" s="51">
        <f ca="1">SUMIFS(OFFSET(Persistance!$K:$K,0,$A$2-Persistance!$K$1),Persistance!$B:$B,$A36,Persistance!$D:$D,K$5,Persistance!$A:$A,"Business")*1000</f>
        <v>0</v>
      </c>
      <c r="L36" s="34">
        <f t="shared" ca="1" si="4"/>
        <v>497861.26300181716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56</v>
      </c>
      <c r="B37" s="51">
        <f ca="1">SUMIFS(OFFSET(Persistance!$K:$K,0,$A$2-Persistance!$K$1),Persistance!$B:$B,$A37,Persistance!$D:$D,B$5,Persistance!$A:$A,"Business")*1000</f>
        <v>0</v>
      </c>
      <c r="C37" s="51">
        <f ca="1">SUMIFS(OFFSET(Persistance!$K:$K,0,$A$2-Persistance!$K$1),Persistance!$B:$B,$A37,Persistance!$D:$D,C$5,Persistance!$A:$A,"Business")*1000</f>
        <v>0</v>
      </c>
      <c r="D37" s="51">
        <f ca="1">SUMIFS(OFFSET(Persistance!$K:$K,0,$A$2-Persistance!$K$1),Persistance!$B:$B,$A37,Persistance!$D:$D,D$5,Persistance!$A:$A,"Business")*1000</f>
        <v>0</v>
      </c>
      <c r="E37" s="51">
        <f ca="1">SUMIFS(OFFSET(Persistance!$K:$K,0,$A$2-Persistance!$K$1),Persistance!$B:$B,$A37,Persistance!$D:$D,E$5,Persistance!$A:$A,"Business")*1000</f>
        <v>0</v>
      </c>
      <c r="F37" s="51">
        <f ca="1">SUMIFS(OFFSET(Persistance!$K:$K,0,$A$2-Persistance!$K$1),Persistance!$B:$B,$A37,Persistance!$D:$D,F$5,Persistance!$A:$A,"Business")*1000</f>
        <v>0</v>
      </c>
      <c r="G37" s="51">
        <f ca="1">SUMIFS(OFFSET(Persistance!$K:$K,0,$A$2-Persistance!$K$1),Persistance!$B:$B,$A37,Persistance!$D:$D,G$5,Persistance!$A:$A,"Business")*1000</f>
        <v>0</v>
      </c>
      <c r="H37" s="51">
        <f ca="1">SUMIFS(OFFSET(Persistance!$K:$K,0,$A$2-Persistance!$K$1),Persistance!$B:$B,$A37,Persistance!$D:$D,H$5,Persistance!$A:$A,"Business")*1000</f>
        <v>0</v>
      </c>
      <c r="I37" s="51">
        <f ca="1">SUMIFS(OFFSET(Persistance!$K:$K,0,$A$2-Persistance!$K$1),Persistance!$B:$B,$A37,Persistance!$D:$D,I$5,Persistance!$A:$A,"Business")*1000</f>
        <v>0</v>
      </c>
      <c r="J37" s="51">
        <f ca="1">SUMIFS(OFFSET(Persistance!$K:$K,0,$A$2-Persistance!$K$1),Persistance!$B:$B,$A37,Persistance!$D:$D,J$5,Persistance!$A:$A,"Business")*1000</f>
        <v>0</v>
      </c>
      <c r="K37" s="51">
        <f ca="1">SUMIFS(OFFSET(Persistance!$K:$K,0,$A$2-Persistance!$K$1),Persistance!$B:$B,$A37,Persistance!$D:$D,K$5,Persistance!$A:$A,"Business")*1000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13</v>
      </c>
      <c r="B38" s="51">
        <f ca="1">SUMIFS(OFFSET(Persistance!$K:$K,0,$A$2-Persistance!$K$1),Persistance!$B:$B,$A38,Persistance!$D:$D,B$5,Persistance!$A:$A,"Business")*1000</f>
        <v>7842.98302788</v>
      </c>
      <c r="C38" s="51">
        <f ca="1">SUMIFS(OFFSET(Persistance!$K:$K,0,$A$2-Persistance!$K$1),Persistance!$B:$B,$A38,Persistance!$D:$D,C$5,Persistance!$A:$A,"Business")*1000</f>
        <v>0</v>
      </c>
      <c r="D38" s="51">
        <f ca="1">SUMIFS(OFFSET(Persistance!$K:$K,0,$A$2-Persistance!$K$1),Persistance!$B:$B,$A38,Persistance!$D:$D,D$5,Persistance!$A:$A,"Business")*1000</f>
        <v>0</v>
      </c>
      <c r="E38" s="51">
        <f ca="1">SUMIFS(OFFSET(Persistance!$K:$K,0,$A$2-Persistance!$K$1),Persistance!$B:$B,$A38,Persistance!$D:$D,E$5,Persistance!$A:$A,"Business")*1000</f>
        <v>0</v>
      </c>
      <c r="F38" s="51">
        <f ca="1">SUMIFS(OFFSET(Persistance!$K:$K,0,$A$2-Persistance!$K$1),Persistance!$B:$B,$A38,Persistance!$D:$D,F$5,Persistance!$A:$A,"Business")*1000</f>
        <v>0</v>
      </c>
      <c r="G38" s="51">
        <f ca="1">SUMIFS(OFFSET(Persistance!$K:$K,0,$A$2-Persistance!$K$1),Persistance!$B:$B,$A38,Persistance!$D:$D,G$5,Persistance!$A:$A,"Business")*1000</f>
        <v>0</v>
      </c>
      <c r="H38" s="51">
        <f ca="1">SUMIFS(OFFSET(Persistance!$K:$K,0,$A$2-Persistance!$K$1),Persistance!$B:$B,$A38,Persistance!$D:$D,H$5,Persistance!$A:$A,"Business")*1000</f>
        <v>0</v>
      </c>
      <c r="I38" s="51">
        <f ca="1">SUMIFS(OFFSET(Persistance!$K:$K,0,$A$2-Persistance!$K$1),Persistance!$B:$B,$A38,Persistance!$D:$D,I$5,Persistance!$A:$A,"Business")*1000</f>
        <v>0</v>
      </c>
      <c r="J38" s="51">
        <f ca="1">SUMIFS(OFFSET(Persistance!$K:$K,0,$A$2-Persistance!$K$1),Persistance!$B:$B,$A38,Persistance!$D:$D,J$5,Persistance!$A:$A,"Business")*1000</f>
        <v>0</v>
      </c>
      <c r="K38" s="51">
        <f ca="1">SUMIFS(OFFSET(Persistance!$K:$K,0,$A$2-Persistance!$K$1),Persistance!$B:$B,$A38,Persistance!$D:$D,K$5,Persistance!$A:$A,"Business")*1000</f>
        <v>0</v>
      </c>
      <c r="L38" s="34">
        <f t="shared" ca="1" si="4"/>
        <v>7842.98302788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69</v>
      </c>
      <c r="B39" s="51">
        <f ca="1">SUMIFS(OFFSET(Persistance!$K:$K,0,$A$2-Persistance!$K$1),Persistance!$B:$B,$A39,Persistance!$D:$D,B$5,Persistance!$A:$A,"Business")*1000</f>
        <v>0</v>
      </c>
      <c r="C39" s="51">
        <f ca="1">SUMIFS(OFFSET(Persistance!$K:$K,0,$A$2-Persistance!$K$1),Persistance!$B:$B,$A39,Persistance!$D:$D,C$5,Persistance!$A:$A,"Business")*1000</f>
        <v>0</v>
      </c>
      <c r="D39" s="51">
        <f ca="1">SUMIFS(OFFSET(Persistance!$K:$K,0,$A$2-Persistance!$K$1),Persistance!$B:$B,$A39,Persistance!$D:$D,D$5,Persistance!$A:$A,"Business")*1000</f>
        <v>0</v>
      </c>
      <c r="E39" s="51">
        <f ca="1">SUMIFS(OFFSET(Persistance!$K:$K,0,$A$2-Persistance!$K$1),Persistance!$B:$B,$A39,Persistance!$D:$D,E$5,Persistance!$A:$A,"Business")*1000</f>
        <v>0</v>
      </c>
      <c r="F39" s="51">
        <f ca="1">SUMIFS(OFFSET(Persistance!$K:$K,0,$A$2-Persistance!$K$1),Persistance!$B:$B,$A39,Persistance!$D:$D,F$5,Persistance!$A:$A,"Business")*1000</f>
        <v>0</v>
      </c>
      <c r="G39" s="51">
        <f ca="1">SUMIFS(OFFSET(Persistance!$K:$K,0,$A$2-Persistance!$K$1),Persistance!$B:$B,$A39,Persistance!$D:$D,G$5,Persistance!$A:$A,"Business")*1000</f>
        <v>0</v>
      </c>
      <c r="H39" s="51">
        <f ca="1">SUMIFS(OFFSET(Persistance!$K:$K,0,$A$2-Persistance!$K$1),Persistance!$B:$B,$A39,Persistance!$D:$D,H$5,Persistance!$A:$A,"Business")*1000</f>
        <v>0</v>
      </c>
      <c r="I39" s="51">
        <f ca="1">SUMIFS(OFFSET(Persistance!$K:$K,0,$A$2-Persistance!$K$1),Persistance!$B:$B,$A39,Persistance!$D:$D,I$5,Persistance!$A:$A,"Business")*1000</f>
        <v>0</v>
      </c>
      <c r="J39" s="51">
        <f ca="1">SUMIFS(OFFSET(Persistance!$K:$K,0,$A$2-Persistance!$K$1),Persistance!$B:$B,$A39,Persistance!$D:$D,J$5,Persistance!$A:$A,"Business")*1000</f>
        <v>0</v>
      </c>
      <c r="K39" s="51">
        <f ca="1">SUMIFS(OFFSET(Persistance!$K:$K,0,$A$2-Persistance!$K$1),Persistance!$B:$B,$A39,Persistance!$D:$D,K$5,Persistance!$A:$A,"Business")*1000</f>
        <v>0</v>
      </c>
      <c r="L39" s="34">
        <f t="shared" ca="1" si="4"/>
        <v>0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90</v>
      </c>
      <c r="B40" s="51">
        <f ca="1">SUMIFS(OFFSET(Persistance!$K:$K,0,$A$2-Persistance!$K$1),Persistance!$B:$B,$A40,Persistance!$D:$D,B$5,Persistance!$A:$A,"Business")*1000</f>
        <v>0</v>
      </c>
      <c r="C40" s="51">
        <f ca="1">SUMIFS(OFFSET(Persistance!$K:$K,0,$A$2-Persistance!$K$1),Persistance!$B:$B,$A40,Persistance!$D:$D,C$5,Persistance!$A:$A,"Business")*1000</f>
        <v>0</v>
      </c>
      <c r="D40" s="51">
        <f ca="1">SUMIFS(OFFSET(Persistance!$K:$K,0,$A$2-Persistance!$K$1),Persistance!$B:$B,$A40,Persistance!$D:$D,D$5,Persistance!$A:$A,"Business")*1000</f>
        <v>0</v>
      </c>
      <c r="E40" s="51">
        <f ca="1">SUMIFS(OFFSET(Persistance!$K:$K,0,$A$2-Persistance!$K$1),Persistance!$B:$B,$A40,Persistance!$D:$D,E$5,Persistance!$A:$A,"Business")*1000</f>
        <v>0</v>
      </c>
      <c r="F40" s="51">
        <f ca="1">SUMIFS(OFFSET(Persistance!$K:$K,0,$A$2-Persistance!$K$1),Persistance!$B:$B,$A40,Persistance!$D:$D,F$5,Persistance!$A:$A,"Business")*1000</f>
        <v>0</v>
      </c>
      <c r="G40" s="51">
        <f ca="1">SUMIFS(OFFSET(Persistance!$K:$K,0,$A$2-Persistance!$K$1),Persistance!$B:$B,$A40,Persistance!$D:$D,G$5,Persistance!$A:$A,"Business")*1000</f>
        <v>0</v>
      </c>
      <c r="H40" s="51">
        <f ca="1">SUMIFS(OFFSET(Persistance!$K:$K,0,$A$2-Persistance!$K$1),Persistance!$B:$B,$A40,Persistance!$D:$D,H$5,Persistance!$A:$A,"Business")*1000</f>
        <v>0</v>
      </c>
      <c r="I40" s="51">
        <f ca="1">SUMIFS(OFFSET(Persistance!$K:$K,0,$A$2-Persistance!$K$1),Persistance!$B:$B,$A40,Persistance!$D:$D,I$5,Persistance!$A:$A,"Business")*1000</f>
        <v>0</v>
      </c>
      <c r="J40" s="51">
        <f ca="1">SUMIFS(OFFSET(Persistance!$K:$K,0,$A$2-Persistance!$K$1),Persistance!$B:$B,$A40,Persistance!$D:$D,J$5,Persistance!$A:$A,"Business")*1000</f>
        <v>0</v>
      </c>
      <c r="K40" s="51">
        <f ca="1">SUMIFS(OFFSET(Persistance!$K:$K,0,$A$2-Persistance!$K$1),Persistance!$B:$B,$A40,Persistance!$D:$D,K$5,Persistance!$A:$A,"Business")*1000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55</v>
      </c>
      <c r="B41" s="51">
        <f ca="1">SUMIFS(OFFSET(Persistance!$K:$K,0,$A$2-Persistance!$K$1),Persistance!$B:$B,$A41,Persistance!$D:$D,B$5,Persistance!$A:$A,"Business")*1000</f>
        <v>0</v>
      </c>
      <c r="C41" s="51">
        <f ca="1">SUMIFS(OFFSET(Persistance!$K:$K,0,$A$2-Persistance!$K$1),Persistance!$B:$B,$A41,Persistance!$D:$D,C$5,Persistance!$A:$A,"Business")*1000</f>
        <v>0</v>
      </c>
      <c r="D41" s="51">
        <f ca="1">SUMIFS(OFFSET(Persistance!$K:$K,0,$A$2-Persistance!$K$1),Persistance!$B:$B,$A41,Persistance!$D:$D,D$5,Persistance!$A:$A,"Business")*1000</f>
        <v>0</v>
      </c>
      <c r="E41" s="51">
        <f ca="1">SUMIFS(OFFSET(Persistance!$K:$K,0,$A$2-Persistance!$K$1),Persistance!$B:$B,$A41,Persistance!$D:$D,E$5,Persistance!$A:$A,"Business")*1000</f>
        <v>0</v>
      </c>
      <c r="F41" s="51">
        <f ca="1">SUMIFS(OFFSET(Persistance!$K:$K,0,$A$2-Persistance!$K$1),Persistance!$B:$B,$A41,Persistance!$D:$D,F$5,Persistance!$A:$A,"Business")*1000</f>
        <v>0</v>
      </c>
      <c r="G41" s="51">
        <f ca="1">SUMIFS(OFFSET(Persistance!$K:$K,0,$A$2-Persistance!$K$1),Persistance!$B:$B,$A41,Persistance!$D:$D,G$5,Persistance!$A:$A,"Business")*1000</f>
        <v>0</v>
      </c>
      <c r="H41" s="51">
        <f ca="1">SUMIFS(OFFSET(Persistance!$K:$K,0,$A$2-Persistance!$K$1),Persistance!$B:$B,$A41,Persistance!$D:$D,H$5,Persistance!$A:$A,"Business")*1000</f>
        <v>0</v>
      </c>
      <c r="I41" s="51">
        <f ca="1">SUMIFS(OFFSET(Persistance!$K:$K,0,$A$2-Persistance!$K$1),Persistance!$B:$B,$A41,Persistance!$D:$D,I$5,Persistance!$A:$A,"Business")*1000</f>
        <v>0</v>
      </c>
      <c r="J41" s="51">
        <f ca="1">SUMIFS(OFFSET(Persistance!$K:$K,0,$A$2-Persistance!$K$1),Persistance!$B:$B,$A41,Persistance!$D:$D,J$5,Persistance!$A:$A,"Business")*1000</f>
        <v>0</v>
      </c>
      <c r="K41" s="51">
        <f ca="1">SUMIFS(OFFSET(Persistance!$K:$K,0,$A$2-Persistance!$K$1),Persistance!$B:$B,$A41,Persistance!$D:$D,K$5,Persistance!$A:$A,"Business")*1000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8</v>
      </c>
      <c r="B42" s="51">
        <f ca="1">SUMIFS(OFFSET(Persistance!$K:$K,0,$A$2-Persistance!$K$1),Persistance!$B:$B,$A42,Persistance!$D:$D,B$5,Persistance!$A:$A,"Business")*1000</f>
        <v>93785</v>
      </c>
      <c r="C42" s="51">
        <f ca="1">SUMIFS(OFFSET(Persistance!$K:$K,0,$A$2-Persistance!$K$1),Persistance!$B:$B,$A42,Persistance!$D:$D,C$5,Persistance!$A:$A,"Business")*1000</f>
        <v>98245.909961840545</v>
      </c>
      <c r="D42" s="51">
        <f ca="1">SUMIFS(OFFSET(Persistance!$K:$K,0,$A$2-Persistance!$K$1),Persistance!$B:$B,$A42,Persistance!$D:$D,D$5,Persistance!$A:$A,"Business")*1000</f>
        <v>0</v>
      </c>
      <c r="E42" s="51">
        <f ca="1">SUMIFS(OFFSET(Persistance!$K:$K,0,$A$2-Persistance!$K$1),Persistance!$B:$B,$A42,Persistance!$D:$D,E$5,Persistance!$A:$A,"Business")*1000</f>
        <v>0</v>
      </c>
      <c r="F42" s="51">
        <f ca="1">SUMIFS(OFFSET(Persistance!$K:$K,0,$A$2-Persistance!$K$1),Persistance!$B:$B,$A42,Persistance!$D:$D,F$5,Persistance!$A:$A,"Business")*1000</f>
        <v>0</v>
      </c>
      <c r="G42" s="51">
        <f ca="1">SUMIFS(OFFSET(Persistance!$K:$K,0,$A$2-Persistance!$K$1),Persistance!$B:$B,$A42,Persistance!$D:$D,G$5,Persistance!$A:$A,"Business")*1000</f>
        <v>0</v>
      </c>
      <c r="H42" s="51">
        <f ca="1">SUMIFS(OFFSET(Persistance!$K:$K,0,$A$2-Persistance!$K$1),Persistance!$B:$B,$A42,Persistance!$D:$D,H$5,Persistance!$A:$A,"Business")*1000</f>
        <v>0</v>
      </c>
      <c r="I42" s="51">
        <f ca="1">SUMIFS(OFFSET(Persistance!$K:$K,0,$A$2-Persistance!$K$1),Persistance!$B:$B,$A42,Persistance!$D:$D,I$5,Persistance!$A:$A,"Business")*1000</f>
        <v>0</v>
      </c>
      <c r="J42" s="51">
        <f ca="1">SUMIFS(OFFSET(Persistance!$K:$K,0,$A$2-Persistance!$K$1),Persistance!$B:$B,$A42,Persistance!$D:$D,J$5,Persistance!$A:$A,"Business")*1000</f>
        <v>0</v>
      </c>
      <c r="K42" s="51">
        <f ca="1">SUMIFS(OFFSET(Persistance!$K:$K,0,$A$2-Persistance!$K$1),Persistance!$B:$B,$A42,Persistance!$D:$D,K$5,Persistance!$A:$A,"Business")*1000</f>
        <v>0</v>
      </c>
      <c r="L42" s="34">
        <f t="shared" ca="1" si="4"/>
        <v>192030.90996184055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57</v>
      </c>
      <c r="B43" s="51">
        <f ca="1">SUMIFS(OFFSET(Persistance!$K:$K,0,$A$2-Persistance!$K$1),Persistance!$B:$B,$A43,Persistance!$D:$D,B$5,Persistance!$A:$A,"Business")*1000</f>
        <v>0</v>
      </c>
      <c r="C43" s="51">
        <f ca="1">SUMIFS(OFFSET(Persistance!$K:$K,0,$A$2-Persistance!$K$1),Persistance!$B:$B,$A43,Persistance!$D:$D,C$5,Persistance!$A:$A,"Business")*1000</f>
        <v>0</v>
      </c>
      <c r="D43" s="51">
        <f ca="1">SUMIFS(OFFSET(Persistance!$K:$K,0,$A$2-Persistance!$K$1),Persistance!$B:$B,$A43,Persistance!$D:$D,D$5,Persistance!$A:$A,"Business")*1000</f>
        <v>0</v>
      </c>
      <c r="E43" s="51">
        <f ca="1">SUMIFS(OFFSET(Persistance!$K:$K,0,$A$2-Persistance!$K$1),Persistance!$B:$B,$A43,Persistance!$D:$D,E$5,Persistance!$A:$A,"Business")*1000</f>
        <v>0</v>
      </c>
      <c r="F43" s="51">
        <f ca="1">SUMIFS(OFFSET(Persistance!$K:$K,0,$A$2-Persistance!$K$1),Persistance!$B:$B,$A43,Persistance!$D:$D,F$5,Persistance!$A:$A,"Business")*1000</f>
        <v>0</v>
      </c>
      <c r="G43" s="51">
        <f ca="1">SUMIFS(OFFSET(Persistance!$K:$K,0,$A$2-Persistance!$K$1),Persistance!$B:$B,$A43,Persistance!$D:$D,G$5,Persistance!$A:$A,"Business")*1000</f>
        <v>0</v>
      </c>
      <c r="H43" s="51">
        <f ca="1">SUMIFS(OFFSET(Persistance!$K:$K,0,$A$2-Persistance!$K$1),Persistance!$B:$B,$A43,Persistance!$D:$D,H$5,Persistance!$A:$A,"Business")*1000</f>
        <v>0</v>
      </c>
      <c r="I43" s="51">
        <f ca="1">SUMIFS(OFFSET(Persistance!$K:$K,0,$A$2-Persistance!$K$1),Persistance!$B:$B,$A43,Persistance!$D:$D,I$5,Persistance!$A:$A,"Business")*1000</f>
        <v>0</v>
      </c>
      <c r="J43" s="51">
        <f ca="1">SUMIFS(OFFSET(Persistance!$K:$K,0,$A$2-Persistance!$K$1),Persistance!$B:$B,$A43,Persistance!$D:$D,J$5,Persistance!$A:$A,"Business")*1000</f>
        <v>0</v>
      </c>
      <c r="K43" s="51">
        <f ca="1">SUMIFS(OFFSET(Persistance!$K:$K,0,$A$2-Persistance!$K$1),Persistance!$B:$B,$A43,Persistance!$D:$D,K$5,Persistance!$A:$A,"Business")*1000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70</v>
      </c>
      <c r="B44" s="51">
        <f ca="1">SUMIFS(OFFSET(Persistance!$K:$K,0,$A$2-Persistance!$K$1),Persistance!$B:$B,$A44,Persistance!$D:$D,B$5,Persistance!$A:$A,"Business")*1000</f>
        <v>0</v>
      </c>
      <c r="C44" s="51">
        <f ca="1">SUMIFS(OFFSET(Persistance!$K:$K,0,$A$2-Persistance!$K$1),Persistance!$B:$B,$A44,Persistance!$D:$D,C$5,Persistance!$A:$A,"Business")*1000</f>
        <v>0</v>
      </c>
      <c r="D44" s="51">
        <f ca="1">SUMIFS(OFFSET(Persistance!$K:$K,0,$A$2-Persistance!$K$1),Persistance!$B:$B,$A44,Persistance!$D:$D,D$5,Persistance!$A:$A,"Business")*1000</f>
        <v>0</v>
      </c>
      <c r="E44" s="51">
        <f ca="1">SUMIFS(OFFSET(Persistance!$K:$K,0,$A$2-Persistance!$K$1),Persistance!$B:$B,$A44,Persistance!$D:$D,E$5,Persistance!$A:$A,"Business")*1000</f>
        <v>0</v>
      </c>
      <c r="F44" s="51">
        <f ca="1">SUMIFS(OFFSET(Persistance!$K:$K,0,$A$2-Persistance!$K$1),Persistance!$B:$B,$A44,Persistance!$D:$D,F$5,Persistance!$A:$A,"Business")*1000</f>
        <v>0</v>
      </c>
      <c r="G44" s="51">
        <f ca="1">SUMIFS(OFFSET(Persistance!$K:$K,0,$A$2-Persistance!$K$1),Persistance!$B:$B,$A44,Persistance!$D:$D,G$5,Persistance!$A:$A,"Business")*1000</f>
        <v>0</v>
      </c>
      <c r="H44" s="51">
        <f ca="1">SUMIFS(OFFSET(Persistance!$K:$K,0,$A$2-Persistance!$K$1),Persistance!$B:$B,$A44,Persistance!$D:$D,H$5,Persistance!$A:$A,"Business")*1000</f>
        <v>0</v>
      </c>
      <c r="I44" s="51">
        <f ca="1">SUMIFS(OFFSET(Persistance!$K:$K,0,$A$2-Persistance!$K$1),Persistance!$B:$B,$A44,Persistance!$D:$D,I$5,Persistance!$A:$A,"Business")*1000</f>
        <v>0</v>
      </c>
      <c r="J44" s="51">
        <f ca="1">SUMIFS(OFFSET(Persistance!$K:$K,0,$A$2-Persistance!$K$1),Persistance!$B:$B,$A44,Persistance!$D:$D,J$5,Persistance!$A:$A,"Business")*1000</f>
        <v>0</v>
      </c>
      <c r="K44" s="51">
        <f ca="1">SUMIFS(OFFSET(Persistance!$K:$K,0,$A$2-Persistance!$K$1),Persistance!$B:$B,$A44,Persistance!$D:$D,K$5,Persistance!$A:$A,"Business")*1000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71</v>
      </c>
      <c r="B45" s="51">
        <f ca="1">SUMIFS(OFFSET(Persistance!$K:$K,0,$A$2-Persistance!$K$1),Persistance!$B:$B,$A45,Persistance!$D:$D,B$5,Persistance!$A:$A,"Business")*1000</f>
        <v>0</v>
      </c>
      <c r="C45" s="51">
        <f ca="1">SUMIFS(OFFSET(Persistance!$K:$K,0,$A$2-Persistance!$K$1),Persistance!$B:$B,$A45,Persistance!$D:$D,C$5,Persistance!$A:$A,"Business")*1000</f>
        <v>0</v>
      </c>
      <c r="D45" s="51">
        <f ca="1">SUMIFS(OFFSET(Persistance!$K:$K,0,$A$2-Persistance!$K$1),Persistance!$B:$B,$A45,Persistance!$D:$D,D$5,Persistance!$A:$A,"Business")*1000</f>
        <v>0</v>
      </c>
      <c r="E45" s="51">
        <f ca="1">SUMIFS(OFFSET(Persistance!$K:$K,0,$A$2-Persistance!$K$1),Persistance!$B:$B,$A45,Persistance!$D:$D,E$5,Persistance!$A:$A,"Business")*1000</f>
        <v>0</v>
      </c>
      <c r="F45" s="51">
        <f ca="1">SUMIFS(OFFSET(Persistance!$K:$K,0,$A$2-Persistance!$K$1),Persistance!$B:$B,$A45,Persistance!$D:$D,F$5,Persistance!$A:$A,"Business")*1000</f>
        <v>0</v>
      </c>
      <c r="G45" s="51">
        <f ca="1">SUMIFS(OFFSET(Persistance!$K:$K,0,$A$2-Persistance!$K$1),Persistance!$B:$B,$A45,Persistance!$D:$D,G$5,Persistance!$A:$A,"Business")*1000</f>
        <v>0</v>
      </c>
      <c r="H45" s="51">
        <f ca="1">SUMIFS(OFFSET(Persistance!$K:$K,0,$A$2-Persistance!$K$1),Persistance!$B:$B,$A45,Persistance!$D:$D,H$5,Persistance!$A:$A,"Business")*1000</f>
        <v>0</v>
      </c>
      <c r="I45" s="51">
        <f ca="1">SUMIFS(OFFSET(Persistance!$K:$K,0,$A$2-Persistance!$K$1),Persistance!$B:$B,$A45,Persistance!$D:$D,I$5,Persistance!$A:$A,"Business")*1000</f>
        <v>0</v>
      </c>
      <c r="J45" s="51">
        <f ca="1">SUMIFS(OFFSET(Persistance!$K:$K,0,$A$2-Persistance!$K$1),Persistance!$B:$B,$A45,Persistance!$D:$D,J$5,Persistance!$A:$A,"Business")*1000</f>
        <v>0</v>
      </c>
      <c r="K45" s="51">
        <f ca="1">SUMIFS(OFFSET(Persistance!$K:$K,0,$A$2-Persistance!$K$1),Persistance!$B:$B,$A45,Persistance!$D:$D,K$5,Persistance!$A:$A,"Business")*1000</f>
        <v>0</v>
      </c>
      <c r="L45" s="34">
        <f t="shared" ca="1" si="4"/>
        <v>0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68</v>
      </c>
      <c r="B46" s="51">
        <f ca="1">SUMIFS(OFFSET(Persistance!$K:$K,0,$A$2-Persistance!$K$1),Persistance!$B:$B,$A46,Persistance!$D:$D,B$5,Persistance!$A:$A,"Business")*1000</f>
        <v>0</v>
      </c>
      <c r="C46" s="51">
        <f ca="1">SUMIFS(OFFSET(Persistance!$K:$K,0,$A$2-Persistance!$K$1),Persistance!$B:$B,$A46,Persistance!$D:$D,C$5,Persistance!$A:$A,"Business")*1000</f>
        <v>0</v>
      </c>
      <c r="D46" s="51">
        <f ca="1">SUMIFS(OFFSET(Persistance!$K:$K,0,$A$2-Persistance!$K$1),Persistance!$B:$B,$A46,Persistance!$D:$D,D$5,Persistance!$A:$A,"Business")*1000</f>
        <v>0</v>
      </c>
      <c r="E46" s="51">
        <f ca="1">SUMIFS(OFFSET(Persistance!$K:$K,0,$A$2-Persistance!$K$1),Persistance!$B:$B,$A46,Persistance!$D:$D,E$5,Persistance!$A:$A,"Business")*1000</f>
        <v>0</v>
      </c>
      <c r="F46" s="51">
        <f ca="1">SUMIFS(OFFSET(Persistance!$K:$K,0,$A$2-Persistance!$K$1),Persistance!$B:$B,$A46,Persistance!$D:$D,F$5,Persistance!$A:$A,"Business")*1000</f>
        <v>0</v>
      </c>
      <c r="G46" s="51">
        <f ca="1">SUMIFS(OFFSET(Persistance!$K:$K,0,$A$2-Persistance!$K$1),Persistance!$B:$B,$A46,Persistance!$D:$D,G$5,Persistance!$A:$A,"Business")*1000</f>
        <v>0</v>
      </c>
      <c r="H46" s="51">
        <f ca="1">SUMIFS(OFFSET(Persistance!$K:$K,0,$A$2-Persistance!$K$1),Persistance!$B:$B,$A46,Persistance!$D:$D,H$5,Persistance!$A:$A,"Business")*1000</f>
        <v>0</v>
      </c>
      <c r="I46" s="51">
        <f ca="1">SUMIFS(OFFSET(Persistance!$K:$K,0,$A$2-Persistance!$K$1),Persistance!$B:$B,$A46,Persistance!$D:$D,I$5,Persistance!$A:$A,"Business")*1000</f>
        <v>0</v>
      </c>
      <c r="J46" s="51">
        <f ca="1">SUMIFS(OFFSET(Persistance!$K:$K,0,$A$2-Persistance!$K$1),Persistance!$B:$B,$A46,Persistance!$D:$D,J$5,Persistance!$A:$A,"Business")*1000</f>
        <v>0</v>
      </c>
      <c r="K46" s="51">
        <f ca="1">SUMIFS(OFFSET(Persistance!$K:$K,0,$A$2-Persistance!$K$1),Persistance!$B:$B,$A46,Persistance!$D:$D,K$5,Persistance!$A:$A,"Business")*1000</f>
        <v>0</v>
      </c>
      <c r="L46" s="34">
        <f t="shared" ca="1" si="4"/>
        <v>0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14</v>
      </c>
      <c r="B47" s="51">
        <f ca="1">SUMIFS(OFFSET(Persistance!$K:$K,0,$A$2-Persistance!$K$1),Persistance!$B:$B,$A47,Persistance!$D:$D,B$5)*1000*'Retrofit Split'!B$2</f>
        <v>170338.15455047225</v>
      </c>
      <c r="C47" s="51">
        <f ca="1">SUMIFS(OFFSET(Persistance!$K:$K,0,$A$2-Persistance!$K$1),Persistance!$B:$B,$A47,Persistance!$D:$D,C$5)*1000*'Retrofit Split'!C$2</f>
        <v>0</v>
      </c>
      <c r="D47" s="51">
        <f ca="1">SUMIFS(OFFSET(Persistance!$K:$K,0,$A$2-Persistance!$K$1),Persistance!$B:$B,$A47,Persistance!$D:$D,D$5)*1000*'Retrofit Split'!D$2</f>
        <v>29469.00905372058</v>
      </c>
      <c r="E47" s="51">
        <f ca="1">SUMIFS(OFFSET(Persistance!$K:$K,0,$A$2-Persistance!$K$1),Persistance!$B:$B,$A47,Persistance!$D:$D,E$5)*1000*'Retrofit Split'!E$2</f>
        <v>0</v>
      </c>
      <c r="F47" s="51">
        <f ca="1">SUMIFS(OFFSET(Persistance!$K:$K,0,$A$2-Persistance!$K$1),Persistance!$B:$B,$A47,Persistance!$D:$D,F$5)*1000*'Retrofit Split'!F$2</f>
        <v>0</v>
      </c>
      <c r="G47" s="51">
        <f ca="1">SUMIFS(OFFSET(Persistance!$K:$K,0,$A$2-Persistance!$K$1),Persistance!$B:$B,$A47,Persistance!$D:$D,G$5)*1000*'Retrofit Split'!G$2</f>
        <v>0</v>
      </c>
      <c r="H47" s="51">
        <f ca="1">SUMIFS(OFFSET(Persistance!$K:$K,0,$A$2-Persistance!$K$1),Persistance!$B:$B,$A47,Persistance!$D:$D,H$5)*1000*'Retrofit Split'!H$2</f>
        <v>0</v>
      </c>
      <c r="I47" s="51">
        <f ca="1">SUMIFS(OFFSET(Persistance!$K:$K,0,$A$2-Persistance!$K$1),Persistance!$B:$B,$A47,Persistance!$D:$D,I$5)*1000*'Retrofit Split'!I$2</f>
        <v>0</v>
      </c>
      <c r="J47" s="51">
        <f ca="1">SUMIFS(OFFSET(Persistance!$K:$K,0,$A$2-Persistance!$K$1),Persistance!$B:$B,$A47,Persistance!$D:$D,J$5)*1000*'Retrofit Split'!J$2</f>
        <v>0</v>
      </c>
      <c r="K47" s="51">
        <f ca="1">SUMIFS(OFFSET(Persistance!$K:$K,0,$A$2-Persistance!$K$1),Persistance!$B:$B,$A47,Persistance!$D:$D,K$5)*1000*'Retrofit Split'!K$2</f>
        <v>0</v>
      </c>
      <c r="L47" s="34">
        <f t="shared" ca="1" si="4"/>
        <v>199807.16360419281</v>
      </c>
      <c r="M47" s="34"/>
      <c r="N47" s="34"/>
      <c r="O47" s="36"/>
      <c r="P47" s="36"/>
      <c r="Q47" s="36"/>
      <c r="R47" s="2"/>
      <c r="S47" s="2"/>
      <c r="T47" s="2"/>
      <c r="U47" s="2"/>
    </row>
    <row r="48" spans="1:21" x14ac:dyDescent="0.25">
      <c r="A48" s="23" t="s">
        <v>72</v>
      </c>
      <c r="B48" s="51">
        <f ca="1">SUMIFS(OFFSET(Persistance!$K:$K,0,$A$2-Persistance!$K$1),Persistance!$B:$B,$A48,Persistance!$D:$D,B$5,Persistance!$A:$A,"Business")*1000</f>
        <v>0</v>
      </c>
      <c r="C48" s="51">
        <f ca="1">SUMIFS(OFFSET(Persistance!$K:$K,0,$A$2-Persistance!$K$1),Persistance!$B:$B,$A48,Persistance!$D:$D,C$5,Persistance!$A:$A,"Business")*1000</f>
        <v>5639.5002500600003</v>
      </c>
      <c r="D48" s="51">
        <f ca="1">SUMIFS(OFFSET(Persistance!$K:$K,0,$A$2-Persistance!$K$1),Persistance!$B:$B,$A48,Persistance!$D:$D,D$5,Persistance!$A:$A,"Business")*1000</f>
        <v>11130.380258458001</v>
      </c>
      <c r="E48" s="51">
        <f ca="1">SUMIFS(OFFSET(Persistance!$K:$K,0,$A$2-Persistance!$K$1),Persistance!$B:$B,$A48,Persistance!$D:$D,E$5,Persistance!$A:$A,"Business")*1000</f>
        <v>0</v>
      </c>
      <c r="F48" s="51">
        <f ca="1">SUMIFS(OFFSET(Persistance!$K:$K,0,$A$2-Persistance!$K$1),Persistance!$B:$B,$A48,Persistance!$D:$D,F$5,Persistance!$A:$A,"Business")*1000</f>
        <v>0</v>
      </c>
      <c r="G48" s="51">
        <f ca="1">SUMIFS(OFFSET(Persistance!$K:$K,0,$A$2-Persistance!$K$1),Persistance!$B:$B,$A48,Persistance!$D:$D,G$5,Persistance!$A:$A,"Business")*1000</f>
        <v>0</v>
      </c>
      <c r="H48" s="51">
        <f ca="1">SUMIFS(OFFSET(Persistance!$K:$K,0,$A$2-Persistance!$K$1),Persistance!$B:$B,$A48,Persistance!$D:$D,H$5,Persistance!$A:$A,"Business")*1000</f>
        <v>0</v>
      </c>
      <c r="I48" s="51">
        <f ca="1">SUMIFS(OFFSET(Persistance!$K:$K,0,$A$2-Persistance!$K$1),Persistance!$B:$B,$A48,Persistance!$D:$D,I$5,Persistance!$A:$A,"Business")*1000</f>
        <v>0</v>
      </c>
      <c r="J48" s="51">
        <f ca="1">SUMIFS(OFFSET(Persistance!$K:$K,0,$A$2-Persistance!$K$1),Persistance!$B:$B,$A48,Persistance!$D:$D,J$5,Persistance!$A:$A,"Business")*1000</f>
        <v>0</v>
      </c>
      <c r="K48" s="51">
        <f ca="1">SUMIFS(OFFSET(Persistance!$K:$K,0,$A$2-Persistance!$K$1),Persistance!$B:$B,$A48,Persistance!$D:$D,K$5,Persistance!$A:$A,"Business")*1000</f>
        <v>0</v>
      </c>
      <c r="L48" s="34">
        <f t="shared" ca="1" si="4"/>
        <v>16769.880508517999</v>
      </c>
      <c r="M48" s="34"/>
      <c r="N48" s="34"/>
      <c r="O48" s="36"/>
      <c r="P48" s="36"/>
      <c r="Q48" s="36"/>
      <c r="R48" s="2"/>
      <c r="S48" s="2"/>
      <c r="T48" s="2"/>
      <c r="U48" s="2"/>
    </row>
    <row r="49" spans="1:21" x14ac:dyDescent="0.25">
      <c r="A49" s="23" t="s">
        <v>35</v>
      </c>
      <c r="B49" s="51">
        <f ca="1">SUMIFS(OFFSET(Persistance!$K:$K,0,$A$2-Persistance!$K$1),Persistance!$B:$B,$A49,Persistance!$D:$D,B$5,Persistance!$A:$A,"Business")*1000</f>
        <v>0</v>
      </c>
      <c r="C49" s="51">
        <f ca="1">SUMIFS(OFFSET(Persistance!$K:$K,0,$A$2-Persistance!$K$1),Persistance!$B:$B,$A49,Persistance!$D:$D,C$5,Persistance!$A:$A,"Business")*1000</f>
        <v>0</v>
      </c>
      <c r="D49" s="51">
        <f ca="1">SUMIFS(OFFSET(Persistance!$K:$K,0,$A$2-Persistance!$K$1),Persistance!$B:$B,$A49,Persistance!$D:$D,D$5,Persistance!$A:$A,"Business")*1000</f>
        <v>0</v>
      </c>
      <c r="E49" s="51">
        <f ca="1">SUMIFS(OFFSET(Persistance!$K:$K,0,$A$2-Persistance!$K$1),Persistance!$B:$B,$A49,Persistance!$D:$D,E$5,Persistance!$A:$A,"Business")*1000</f>
        <v>0</v>
      </c>
      <c r="F49" s="51">
        <f ca="1">SUMIFS(OFFSET(Persistance!$K:$K,0,$A$2-Persistance!$K$1),Persistance!$B:$B,$A49,Persistance!$D:$D,F$5,Persistance!$A:$A,"Business")*1000</f>
        <v>0</v>
      </c>
      <c r="G49" s="51">
        <f ca="1">SUMIFS(OFFSET(Persistance!$K:$K,0,$A$2-Persistance!$K$1),Persistance!$B:$B,$A49,Persistance!$D:$D,G$5,Persistance!$A:$A,"Business")*1000</f>
        <v>0</v>
      </c>
      <c r="H49" s="51">
        <f ca="1">SUMIFS(OFFSET(Persistance!$K:$K,0,$A$2-Persistance!$K$1),Persistance!$B:$B,$A49,Persistance!$D:$D,H$5,Persistance!$A:$A,"Business")*1000</f>
        <v>0</v>
      </c>
      <c r="I49" s="51">
        <f ca="1">SUMIFS(OFFSET(Persistance!$K:$K,0,$A$2-Persistance!$K$1),Persistance!$B:$B,$A49,Persistance!$D:$D,I$5,Persistance!$A:$A,"Business")*1000</f>
        <v>0</v>
      </c>
      <c r="J49" s="51">
        <f ca="1">SUMIFS(OFFSET(Persistance!$K:$K,0,$A$2-Persistance!$K$1),Persistance!$B:$B,$A49,Persistance!$D:$D,J$5,Persistance!$A:$A,"Business")*1000</f>
        <v>0</v>
      </c>
      <c r="K49" s="51">
        <f ca="1">SUMIFS(OFFSET(Persistance!$K:$K,0,$A$2-Persistance!$K$1),Persistance!$B:$B,$A49,Persistance!$D:$D,K$5,Persistance!$A:$A,"Business")*1000</f>
        <v>0</v>
      </c>
      <c r="L49" s="34">
        <f t="shared" ca="1" si="4"/>
        <v>0</v>
      </c>
      <c r="M49" s="34"/>
      <c r="N49" s="34"/>
      <c r="O49" s="36"/>
      <c r="P49" s="36"/>
      <c r="Q49" s="36"/>
      <c r="R49" s="2"/>
      <c r="S49" s="28" t="s">
        <v>48</v>
      </c>
      <c r="T49" s="28" t="s">
        <v>17</v>
      </c>
      <c r="U49" s="2" t="s">
        <v>49</v>
      </c>
    </row>
    <row r="50" spans="1:21" x14ac:dyDescent="0.25">
      <c r="B50" s="29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6"/>
      <c r="P50" s="36"/>
      <c r="Q50" s="36"/>
      <c r="R50" s="2"/>
      <c r="S50" s="29">
        <f ca="1">$A$2</f>
        <v>2013</v>
      </c>
      <c r="T50" s="50">
        <f ca="1">AVERAGEIFS(Rates!E:E,Rates!F:F,'2013'!S50,Rates!G:G,"Business")</f>
        <v>8.9999999999999993E-3</v>
      </c>
      <c r="U50" s="30">
        <f ca="1">AVERAGEIFS(Rates!B:B,Rates!F:F,'2013'!S50,Rates!G:G,"Business")</f>
        <v>41395</v>
      </c>
    </row>
    <row r="51" spans="1:21" x14ac:dyDescent="0.25">
      <c r="A51" t="s">
        <v>10</v>
      </c>
      <c r="B51" s="64">
        <f t="shared" ref="B51:L51" ca="1" si="5">SUM(B32:B50)</f>
        <v>544272.45208708104</v>
      </c>
      <c r="C51" s="64">
        <f t="shared" ca="1" si="5"/>
        <v>329440.35870498896</v>
      </c>
      <c r="D51" s="64">
        <f t="shared" ca="1" si="5"/>
        <v>40599.38931217858</v>
      </c>
      <c r="E51" s="64">
        <f t="shared" ca="1" si="5"/>
        <v>0</v>
      </c>
      <c r="F51" s="64">
        <f t="shared" ca="1" si="5"/>
        <v>0</v>
      </c>
      <c r="G51" s="64">
        <f t="shared" ca="1" si="5"/>
        <v>0</v>
      </c>
      <c r="H51" s="64">
        <f t="shared" ca="1" si="5"/>
        <v>0</v>
      </c>
      <c r="I51" s="64">
        <f t="shared" ca="1" si="5"/>
        <v>0</v>
      </c>
      <c r="J51" s="64">
        <f t="shared" ca="1" si="5"/>
        <v>0</v>
      </c>
      <c r="K51" s="64">
        <f t="shared" ca="1" si="5"/>
        <v>0</v>
      </c>
      <c r="L51" s="64">
        <f t="shared" ca="1" si="5"/>
        <v>914312.20010424848</v>
      </c>
      <c r="M51" s="64">
        <f>Summary!$H$7</f>
        <v>232046</v>
      </c>
      <c r="N51" s="64">
        <f ca="1">(((MONTH(U50)-1)/12)*T51)+(((12-(MONTH(U50)-1))/12)*T50)</f>
        <v>8.9999999999999993E-3</v>
      </c>
      <c r="O51" s="64">
        <f ca="1">ROUND(L51*N51,2)</f>
        <v>8228.81</v>
      </c>
      <c r="P51" s="64">
        <f ca="1">ROUND(M51*N51,2)</f>
        <v>2088.41</v>
      </c>
      <c r="Q51" s="64">
        <f ca="1">+O51-P51</f>
        <v>6140.4</v>
      </c>
      <c r="R51" s="2"/>
      <c r="S51" s="29">
        <f ca="1">S50-1</f>
        <v>2012</v>
      </c>
      <c r="T51" s="50">
        <f ca="1">AVERAGEIFS(Rates!E:E,Rates!F:F,'2013'!S51,Rates!G:G,"Business")</f>
        <v>8.9999999999999993E-3</v>
      </c>
      <c r="U51" s="2"/>
    </row>
    <row r="52" spans="1:21" x14ac:dyDescent="0.25">
      <c r="B52" s="29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43</v>
      </c>
      <c r="B53" s="51">
        <f ca="1">SUMIFS(OFFSET(Persistance!$F:$F,0,$A$2-Persistance!$K$1),Persistance!$B:$B,'2013'!$A53,Persistance!$D:$D,'2013'!B$5,Persistance!$A:$A,"Industrial")*1000</f>
        <v>0</v>
      </c>
      <c r="C53" s="51">
        <f ca="1">SUMIFS(OFFSET(Persistance!$F:$F,0,$A$2-Persistance!$K$1),Persistance!$B:$B,'2013'!$A53,Persistance!$D:$D,'2013'!C$5,Persistance!$A:$A,"Industrial")*1000</f>
        <v>0</v>
      </c>
      <c r="D53" s="51">
        <f ca="1">SUMIFS(OFFSET(Persistance!$F:$F,0,$A$2-Persistance!$K$1),Persistance!$B:$B,'2013'!$A53,Persistance!$D:$D,'2013'!D$5,Persistance!$A:$A,"Industrial")*1000</f>
        <v>0</v>
      </c>
      <c r="E53" s="51">
        <f ca="1">SUMIFS(OFFSET(Persistance!$F:$F,0,$A$2-Persistance!$K$1),Persistance!$B:$B,'2013'!$A53,Persistance!$D:$D,'2013'!E$5,Persistance!$A:$A,"Industrial")*1000</f>
        <v>0</v>
      </c>
      <c r="F53" s="51">
        <f ca="1">SUMIFS(OFFSET(Persistance!$F:$F,0,$A$2-Persistance!$K$1),Persistance!$B:$B,'2013'!$A53,Persistance!$D:$D,'2013'!F$5,Persistance!$A:$A,"Industrial")*1000</f>
        <v>0</v>
      </c>
      <c r="G53" s="51">
        <f ca="1">SUMIFS(OFFSET(Persistance!$F:$F,0,$A$2-Persistance!$K$1),Persistance!$B:$B,'2013'!$A53,Persistance!$D:$D,'2013'!G$5,Persistance!$A:$A,"Industrial")*1000</f>
        <v>0</v>
      </c>
      <c r="H53" s="51">
        <f ca="1">SUMIFS(OFFSET(Persistance!$F:$F,0,$A$2-Persistance!$K$1),Persistance!$B:$B,'2013'!$A53,Persistance!$D:$D,'2013'!H$5,Persistance!$A:$A,"Industrial")*1000</f>
        <v>0</v>
      </c>
      <c r="I53" s="51">
        <f ca="1">SUMIFS(OFFSET(Persistance!$F:$F,0,$A$2-Persistance!$K$1),Persistance!$B:$B,'2013'!$A53,Persistance!$D:$D,'2013'!I$5,Persistance!$A:$A,"Industrial")*1000</f>
        <v>0</v>
      </c>
      <c r="J53" s="51">
        <f ca="1">SUMIFS(OFFSET(Persistance!$F:$F,0,$A$2-Persistance!$K$1),Persistance!$B:$B,'2013'!$A53,Persistance!$D:$D,'2013'!J$5,Persistance!$A:$A,"Industrial")*1000</f>
        <v>0</v>
      </c>
      <c r="K53" s="51">
        <f ca="1">SUMIFS(OFFSET(Persistance!$F:$F,0,$A$2-Persistance!$K$1),Persistance!$B:$B,'2013'!$A53,Persistance!$D:$D,'2013'!K$5,Persistance!$A:$A,"Industrial")*1000</f>
        <v>0</v>
      </c>
      <c r="L53" s="34">
        <v>0</v>
      </c>
      <c r="M53" s="52" t="s">
        <v>87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t="s">
        <v>41</v>
      </c>
      <c r="B54" s="51">
        <f ca="1">SUMIFS(OFFSET(Persistance!$F:$F,0,$A$2-Persistance!$K$1),Persistance!$B:$B,'2013'!$A54,Persistance!$D:$D,'2013'!B$5,Persistance!$A:$A,"Industrial")*1000</f>
        <v>0</v>
      </c>
      <c r="C54" s="51">
        <f ca="1">SUMIFS(OFFSET(Persistance!$F:$F,0,$A$2-Persistance!$K$1),Persistance!$B:$B,'2013'!$A54,Persistance!$D:$D,'2013'!C$5,Persistance!$A:$A,"Industrial")*1000</f>
        <v>0</v>
      </c>
      <c r="D54" s="51">
        <f ca="1">SUMIFS(OFFSET(Persistance!$F:$F,0,$A$2-Persistance!$K$1),Persistance!$B:$B,'2013'!$A54,Persistance!$D:$D,'2013'!D$5,Persistance!$A:$A,"Industrial")*1000</f>
        <v>149.72909999999999</v>
      </c>
      <c r="E54" s="51">
        <f ca="1">SUMIFS(OFFSET(Persistance!$F:$F,0,$A$2-Persistance!$K$1),Persistance!$B:$B,'2013'!$A54,Persistance!$D:$D,'2013'!E$5,Persistance!$A:$A,"Industrial")*1000</f>
        <v>0</v>
      </c>
      <c r="F54" s="51">
        <f ca="1">SUMIFS(OFFSET(Persistance!$F:$F,0,$A$2-Persistance!$K$1),Persistance!$B:$B,'2013'!$A54,Persistance!$D:$D,'2013'!F$5,Persistance!$A:$A,"Industrial")*1000</f>
        <v>0</v>
      </c>
      <c r="G54" s="51">
        <f ca="1">SUMIFS(OFFSET(Persistance!$F:$F,0,$A$2-Persistance!$K$1),Persistance!$B:$B,'2013'!$A54,Persistance!$D:$D,'2013'!G$5,Persistance!$A:$A,"Industrial")*1000</f>
        <v>0</v>
      </c>
      <c r="H54" s="51">
        <f ca="1">SUMIFS(OFFSET(Persistance!$F:$F,0,$A$2-Persistance!$K$1),Persistance!$B:$B,'2013'!$A54,Persistance!$D:$D,'2013'!H$5,Persistance!$A:$A,"Industrial")*1000</f>
        <v>0</v>
      </c>
      <c r="I54" s="51">
        <f ca="1">SUMIFS(OFFSET(Persistance!$F:$F,0,$A$2-Persistance!$K$1),Persistance!$B:$B,'2013'!$A54,Persistance!$D:$D,'2013'!I$5,Persistance!$A:$A,"Industrial")*1000</f>
        <v>0</v>
      </c>
      <c r="J54" s="51">
        <f ca="1">SUMIFS(OFFSET(Persistance!$F:$F,0,$A$2-Persistance!$K$1),Persistance!$B:$B,'2013'!$A54,Persistance!$D:$D,'2013'!J$5,Persistance!$A:$A,"Industrial")*1000</f>
        <v>0</v>
      </c>
      <c r="K54" s="51">
        <f ca="1">SUMIFS(OFFSET(Persistance!$F:$F,0,$A$2-Persistance!$K$1),Persistance!$B:$B,'2013'!$A54,Persistance!$D:$D,'2013'!K$5,Persistance!$A:$A,"Industrial")*1000</f>
        <v>0</v>
      </c>
      <c r="L54" s="34">
        <v>0</v>
      </c>
      <c r="M54" s="52" t="s">
        <v>87</v>
      </c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t="s">
        <v>58</v>
      </c>
      <c r="B55" s="51">
        <f ca="1">SUMIFS(OFFSET(Persistance!$F:$F,0,$A$2-Persistance!$K$1),Persistance!$B:$B,'2013'!$A55,Persistance!$D:$D,'2013'!B$5,Persistance!$A:$A,"Industrial")*1000</f>
        <v>0</v>
      </c>
      <c r="C55" s="51">
        <f ca="1">SUMIFS(OFFSET(Persistance!$F:$F,0,$A$2-Persistance!$K$1),Persistance!$B:$B,'2013'!$A55,Persistance!$D:$D,'2013'!C$5,Persistance!$A:$A,"Industrial")*1000</f>
        <v>0</v>
      </c>
      <c r="D55" s="51">
        <f ca="1">SUMIFS(OFFSET(Persistance!$F:$F,0,$A$2-Persistance!$K$1),Persistance!$B:$B,'2013'!$A55,Persistance!$D:$D,'2013'!D$5,Persistance!$A:$A,"Industrial")*1000</f>
        <v>0</v>
      </c>
      <c r="E55" s="51">
        <f ca="1">SUMIFS(OFFSET(Persistance!$F:$F,0,$A$2-Persistance!$K$1),Persistance!$B:$B,'2013'!$A55,Persistance!$D:$D,'2013'!E$5,Persistance!$A:$A,"Industrial")*1000</f>
        <v>0</v>
      </c>
      <c r="F55" s="51">
        <f ca="1">SUMIFS(OFFSET(Persistance!$F:$F,0,$A$2-Persistance!$K$1),Persistance!$B:$B,'2013'!$A55,Persistance!$D:$D,'2013'!F$5,Persistance!$A:$A,"Industrial")*1000</f>
        <v>0</v>
      </c>
      <c r="G55" s="51">
        <f ca="1">SUMIFS(OFFSET(Persistance!$F:$F,0,$A$2-Persistance!$K$1),Persistance!$B:$B,'2013'!$A55,Persistance!$D:$D,'2013'!G$5,Persistance!$A:$A,"Industrial")*1000</f>
        <v>0</v>
      </c>
      <c r="H55" s="51">
        <f ca="1">SUMIFS(OFFSET(Persistance!$F:$F,0,$A$2-Persistance!$K$1),Persistance!$B:$B,'2013'!$A55,Persistance!$D:$D,'2013'!H$5,Persistance!$A:$A,"Industrial")*1000</f>
        <v>0</v>
      </c>
      <c r="I55" s="51">
        <f ca="1">SUMIFS(OFFSET(Persistance!$F:$F,0,$A$2-Persistance!$K$1),Persistance!$B:$B,'2013'!$A55,Persistance!$D:$D,'2013'!I$5,Persistance!$A:$A,"Industrial")*1000</f>
        <v>0</v>
      </c>
      <c r="J55" s="51">
        <f ca="1">SUMIFS(OFFSET(Persistance!$F:$F,0,$A$2-Persistance!$K$1),Persistance!$B:$B,'2013'!$A55,Persistance!$D:$D,'2013'!J$5,Persistance!$A:$A,"Industrial")*1000</f>
        <v>0</v>
      </c>
      <c r="K55" s="51">
        <f ca="1">SUMIFS(OFFSET(Persistance!$F:$F,0,$A$2-Persistance!$K$1),Persistance!$B:$B,'2013'!$A55,Persistance!$D:$D,'2013'!K$5,Persistance!$A:$A,"Industrial")*1000</f>
        <v>0</v>
      </c>
      <c r="L55" s="34">
        <f ca="1">SUM(B55:K55)*3</f>
        <v>0</v>
      </c>
      <c r="M55" s="52" t="s">
        <v>88</v>
      </c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t="s">
        <v>55</v>
      </c>
      <c r="B56" s="51">
        <f ca="1">SUMIFS(OFFSET(Persistance!$F:$F,0,$A$2-Persistance!$K$1),Persistance!$B:$B,'2013'!$A56,Persistance!$D:$D,'2013'!B$5,Persistance!$A:$A,"Industrial")*1000</f>
        <v>0</v>
      </c>
      <c r="C56" s="51">
        <f ca="1">SUMIFS(OFFSET(Persistance!$F:$F,0,$A$2-Persistance!$K$1),Persistance!$B:$B,'2013'!$A56,Persistance!$D:$D,'2013'!C$5,Persistance!$A:$A,"Industrial")*1000</f>
        <v>0</v>
      </c>
      <c r="D56" s="51">
        <f ca="1">SUMIFS(OFFSET(Persistance!$F:$F,0,$A$2-Persistance!$K$1),Persistance!$B:$B,'2013'!$A56,Persistance!$D:$D,'2013'!D$5,Persistance!$A:$A,"Industrial")*1000</f>
        <v>0</v>
      </c>
      <c r="E56" s="51">
        <f ca="1">SUMIFS(OFFSET(Persistance!$F:$F,0,$A$2-Persistance!$K$1),Persistance!$B:$B,'2013'!$A56,Persistance!$D:$D,'2013'!E$5,Persistance!$A:$A,"Industrial")*1000</f>
        <v>0</v>
      </c>
      <c r="F56" s="51">
        <f ca="1">SUMIFS(OFFSET(Persistance!$F:$F,0,$A$2-Persistance!$K$1),Persistance!$B:$B,'2013'!$A56,Persistance!$D:$D,'2013'!F$5,Persistance!$A:$A,"Industrial")*1000</f>
        <v>0</v>
      </c>
      <c r="G56" s="51">
        <f ca="1">SUMIFS(OFFSET(Persistance!$F:$F,0,$A$2-Persistance!$K$1),Persistance!$B:$B,'2013'!$A56,Persistance!$D:$D,'2013'!G$5,Persistance!$A:$A,"Industrial")*1000</f>
        <v>0</v>
      </c>
      <c r="H56" s="51">
        <f ca="1">SUMIFS(OFFSET(Persistance!$F:$F,0,$A$2-Persistance!$K$1),Persistance!$B:$B,'2013'!$A56,Persistance!$D:$D,'2013'!H$5,Persistance!$A:$A,"Industrial")*1000</f>
        <v>0</v>
      </c>
      <c r="I56" s="51">
        <f ca="1">SUMIFS(OFFSET(Persistance!$F:$F,0,$A$2-Persistance!$K$1),Persistance!$B:$B,'2013'!$A56,Persistance!$D:$D,'2013'!I$5,Persistance!$A:$A,"Industrial")*1000</f>
        <v>0</v>
      </c>
      <c r="J56" s="51">
        <f ca="1">SUMIFS(OFFSET(Persistance!$F:$F,0,$A$2-Persistance!$K$1),Persistance!$B:$B,'2013'!$A56,Persistance!$D:$D,'2013'!J$5,Persistance!$A:$A,"Industrial")*1000</f>
        <v>0</v>
      </c>
      <c r="K56" s="51">
        <f ca="1">SUMIFS(OFFSET(Persistance!$F:$F,0,$A$2-Persistance!$K$1),Persistance!$B:$B,'2013'!$A56,Persistance!$D:$D,'2013'!K$5,Persistance!$A:$A,"Industrial")*1000</f>
        <v>0</v>
      </c>
      <c r="L56" s="34">
        <f t="shared" ref="L56:L57" ca="1" si="6">SUM(B56:K56)*12</f>
        <v>0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t="s">
        <v>102</v>
      </c>
      <c r="B57" s="51">
        <f ca="1">SUMIFS(OFFSET(Persistance!$F:$F,0,$A$2-Persistance!$K$1),Persistance!$B:$B,'2013'!$A57,Persistance!$D:$D,'2013'!B$5,Persistance!$A:$A,"Industrial")*1000</f>
        <v>0</v>
      </c>
      <c r="C57" s="51">
        <f ca="1">SUMIFS(OFFSET(Persistance!$F:$F,0,$A$2-Persistance!$K$1),Persistance!$B:$B,'2013'!$A57,Persistance!$D:$D,'2013'!C$5,Persistance!$A:$A,"Industrial")*1000</f>
        <v>0</v>
      </c>
      <c r="D57" s="51">
        <f ca="1">SUMIFS(OFFSET(Persistance!$F:$F,0,$A$2-Persistance!$K$1),Persistance!$B:$B,'2013'!$A57,Persistance!$D:$D,'2013'!D$5,Persistance!$A:$A,"Industrial")*1000</f>
        <v>0.17749799999999999</v>
      </c>
      <c r="E57" s="51">
        <f ca="1">SUMIFS(OFFSET(Persistance!$F:$F,0,$A$2-Persistance!$K$1),Persistance!$B:$B,'2013'!$A57,Persistance!$D:$D,'2013'!E$5,Persistance!$A:$A,"Industrial")*1000</f>
        <v>0</v>
      </c>
      <c r="F57" s="51">
        <f ca="1">SUMIFS(OFFSET(Persistance!$F:$F,0,$A$2-Persistance!$K$1),Persistance!$B:$B,'2013'!$A57,Persistance!$D:$D,'2013'!F$5,Persistance!$A:$A,"Industrial")*1000</f>
        <v>0</v>
      </c>
      <c r="G57" s="51">
        <f ca="1">SUMIFS(OFFSET(Persistance!$F:$F,0,$A$2-Persistance!$K$1),Persistance!$B:$B,'2013'!$A57,Persistance!$D:$D,'2013'!G$5,Persistance!$A:$A,"Industrial")*1000</f>
        <v>0</v>
      </c>
      <c r="H57" s="51">
        <f ca="1">SUMIFS(OFFSET(Persistance!$F:$F,0,$A$2-Persistance!$K$1),Persistance!$B:$B,'2013'!$A57,Persistance!$D:$D,'2013'!H$5,Persistance!$A:$A,"Industrial")*1000</f>
        <v>0</v>
      </c>
      <c r="I57" s="51">
        <f ca="1">SUMIFS(OFFSET(Persistance!$F:$F,0,$A$2-Persistance!$K$1),Persistance!$B:$B,'2013'!$A57,Persistance!$D:$D,'2013'!I$5,Persistance!$A:$A,"Industrial")*1000</f>
        <v>0</v>
      </c>
      <c r="J57" s="51">
        <f ca="1">SUMIFS(OFFSET(Persistance!$F:$F,0,$A$2-Persistance!$K$1),Persistance!$B:$B,'2013'!$A57,Persistance!$D:$D,'2013'!J$5,Persistance!$A:$A,"Industrial")*1000</f>
        <v>0</v>
      </c>
      <c r="K57" s="51">
        <f ca="1">SUMIFS(OFFSET(Persistance!$F:$F,0,$A$2-Persistance!$K$1),Persistance!$B:$B,'2013'!$A57,Persistance!$D:$D,'2013'!K$5,Persistance!$A:$A,"Industrial")*1000</f>
        <v>0</v>
      </c>
      <c r="L57" s="34">
        <f t="shared" ca="1" si="6"/>
        <v>2.1299760000000001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63</v>
      </c>
      <c r="B58" s="51">
        <f ca="1">SUMIFS(OFFSET(Persistance!$F:$F,0,$A$2-Persistance!$K$1),Persistance!$B:$B,'2013'!$A58,Persistance!$D:$D,'2013'!B$5,Persistance!$A:$A,"Industrial")*1000</f>
        <v>0</v>
      </c>
      <c r="C58" s="51">
        <f ca="1">SUMIFS(OFFSET(Persistance!$F:$F,0,$A$2-Persistance!$K$1),Persistance!$B:$B,'2013'!$A58,Persistance!$D:$D,'2013'!C$5,Persistance!$A:$A,"Industrial")*1000</f>
        <v>0</v>
      </c>
      <c r="D58" s="51">
        <f ca="1">SUMIFS(OFFSET(Persistance!$F:$F,0,$A$2-Persistance!$K$1),Persistance!$B:$B,'2013'!$A58,Persistance!$D:$D,'2013'!D$5,Persistance!$A:$A,"Industrial")*1000</f>
        <v>0</v>
      </c>
      <c r="E58" s="51">
        <f ca="1">SUMIFS(OFFSET(Persistance!$F:$F,0,$A$2-Persistance!$K$1),Persistance!$B:$B,'2013'!$A58,Persistance!$D:$D,'2013'!E$5,Persistance!$A:$A,"Industrial")*1000</f>
        <v>0</v>
      </c>
      <c r="F58" s="51">
        <f ca="1">SUMIFS(OFFSET(Persistance!$F:$F,0,$A$2-Persistance!$K$1),Persistance!$B:$B,'2013'!$A58,Persistance!$D:$D,'2013'!F$5,Persistance!$A:$A,"Industrial")*1000</f>
        <v>0</v>
      </c>
      <c r="G58" s="51">
        <f ca="1">SUMIFS(OFFSET(Persistance!$F:$F,0,$A$2-Persistance!$K$1),Persistance!$B:$B,'2013'!$A58,Persistance!$D:$D,'2013'!G$5,Persistance!$A:$A,"Industrial")*1000</f>
        <v>0</v>
      </c>
      <c r="H58" s="51">
        <f ca="1">SUMIFS(OFFSET(Persistance!$F:$F,0,$A$2-Persistance!$K$1),Persistance!$B:$B,'2013'!$A58,Persistance!$D:$D,'2013'!H$5,Persistance!$A:$A,"Industrial")*1000</f>
        <v>0</v>
      </c>
      <c r="I58" s="51">
        <f ca="1">SUMIFS(OFFSET(Persistance!$F:$F,0,$A$2-Persistance!$K$1),Persistance!$B:$B,'2013'!$A58,Persistance!$D:$D,'2013'!I$5,Persistance!$A:$A,"Industrial")*1000</f>
        <v>0</v>
      </c>
      <c r="J58" s="51">
        <f ca="1">SUMIFS(OFFSET(Persistance!$F:$F,0,$A$2-Persistance!$K$1),Persistance!$B:$B,'2013'!$A58,Persistance!$D:$D,'2013'!J$5,Persistance!$A:$A,"Industrial")*1000</f>
        <v>0</v>
      </c>
      <c r="K58" s="51">
        <f ca="1">SUMIFS(OFFSET(Persistance!$F:$F,0,$A$2-Persistance!$K$1),Persistance!$B:$B,'2013'!$A58,Persistance!$D:$D,'2013'!K$5,Persistance!$A:$A,"Industrial")*1000</f>
        <v>0</v>
      </c>
      <c r="L58" s="34">
        <f ca="1">SUM(B58:K58)*12</f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8</v>
      </c>
      <c r="B59" s="51">
        <f ca="1">SUMIFS(OFFSET(Persistance!$F:$F,0,$A$2-Persistance!$K$1),Persistance!$B:$B,'2013'!$A59,Persistance!$D:$D,'2013'!B$5,Persistance!$A:$A,"Industrial")*1000</f>
        <v>0</v>
      </c>
      <c r="C59" s="51">
        <f ca="1">SUMIFS(OFFSET(Persistance!$F:$F,0,$A$2-Persistance!$K$1),Persistance!$B:$B,'2013'!$A59,Persistance!$D:$D,'2013'!C$5,Persistance!$A:$A,"Industrial")*1000</f>
        <v>0</v>
      </c>
      <c r="D59" s="51">
        <f ca="1">SUMIFS(OFFSET(Persistance!$F:$F,0,$A$2-Persistance!$K$1),Persistance!$B:$B,'2013'!$A59,Persistance!$D:$D,'2013'!D$5,Persistance!$A:$A,"Industrial")*1000</f>
        <v>0</v>
      </c>
      <c r="E59" s="51">
        <f ca="1">SUMIFS(OFFSET(Persistance!$F:$F,0,$A$2-Persistance!$K$1),Persistance!$B:$B,'2013'!$A59,Persistance!$D:$D,'2013'!E$5,Persistance!$A:$A,"Industrial")*1000</f>
        <v>0</v>
      </c>
      <c r="F59" s="51">
        <f ca="1">SUMIFS(OFFSET(Persistance!$F:$F,0,$A$2-Persistance!$K$1),Persistance!$B:$B,'2013'!$A59,Persistance!$D:$D,'2013'!F$5,Persistance!$A:$A,"Industrial")*1000</f>
        <v>0</v>
      </c>
      <c r="G59" s="51">
        <f ca="1">SUMIFS(OFFSET(Persistance!$F:$F,0,$A$2-Persistance!$K$1),Persistance!$B:$B,'2013'!$A59,Persistance!$D:$D,'2013'!G$5,Persistance!$A:$A,"Industrial")*1000</f>
        <v>0</v>
      </c>
      <c r="H59" s="51">
        <f ca="1">SUMIFS(OFFSET(Persistance!$F:$F,0,$A$2-Persistance!$K$1),Persistance!$B:$B,'2013'!$A59,Persistance!$D:$D,'2013'!H$5,Persistance!$A:$A,"Industrial")*1000</f>
        <v>0</v>
      </c>
      <c r="I59" s="51">
        <f ca="1">SUMIFS(OFFSET(Persistance!$F:$F,0,$A$2-Persistance!$K$1),Persistance!$B:$B,'2013'!$A59,Persistance!$D:$D,'2013'!I$5,Persistance!$A:$A,"Industrial")*1000</f>
        <v>0</v>
      </c>
      <c r="J59" s="51">
        <f ca="1">SUMIFS(OFFSET(Persistance!$F:$F,0,$A$2-Persistance!$K$1),Persistance!$B:$B,'2013'!$A59,Persistance!$D:$D,'2013'!J$5,Persistance!$A:$A,"Industrial")*1000</f>
        <v>0</v>
      </c>
      <c r="K59" s="51">
        <f ca="1">SUMIFS(OFFSET(Persistance!$F:$F,0,$A$2-Persistance!$K$1),Persistance!$B:$B,'2013'!$A59,Persistance!$D:$D,'2013'!K$5,Persistance!$A:$A,"Industrial")*1000</f>
        <v>0</v>
      </c>
      <c r="L59" s="34">
        <f ca="1">SUM(B59:K59)*12</f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60</v>
      </c>
      <c r="B60" s="51">
        <f ca="1">SUMIFS(OFFSET(Persistance!$F:$F,0,$A$2-Persistance!$K$1),Persistance!$B:$B,'2013'!$A60,Persistance!$D:$D,'2013'!B$5,Persistance!$A:$A,"Industrial")*1000</f>
        <v>0</v>
      </c>
      <c r="C60" s="51">
        <f ca="1">SUMIFS(OFFSET(Persistance!$F:$F,0,$A$2-Persistance!$K$1),Persistance!$B:$B,'2013'!$A60,Persistance!$D:$D,'2013'!C$5,Persistance!$A:$A,"Industrial")*1000</f>
        <v>0</v>
      </c>
      <c r="D60" s="51">
        <f ca="1">SUMIFS(OFFSET(Persistance!$F:$F,0,$A$2-Persistance!$K$1),Persistance!$B:$B,'2013'!$A60,Persistance!$D:$D,'2013'!D$5,Persistance!$A:$A,"Industrial")*1000</f>
        <v>0</v>
      </c>
      <c r="E60" s="51">
        <f ca="1">SUMIFS(OFFSET(Persistance!$F:$F,0,$A$2-Persistance!$K$1),Persistance!$B:$B,'2013'!$A60,Persistance!$D:$D,'2013'!E$5,Persistance!$A:$A,"Industrial")*1000</f>
        <v>0</v>
      </c>
      <c r="F60" s="51">
        <f ca="1">SUMIFS(OFFSET(Persistance!$F:$F,0,$A$2-Persistance!$K$1),Persistance!$B:$B,'2013'!$A60,Persistance!$D:$D,'2013'!F$5,Persistance!$A:$A,"Industrial")*1000</f>
        <v>0</v>
      </c>
      <c r="G60" s="51">
        <f ca="1">SUMIFS(OFFSET(Persistance!$F:$F,0,$A$2-Persistance!$K$1),Persistance!$B:$B,'2013'!$A60,Persistance!$D:$D,'2013'!G$5,Persistance!$A:$A,"Industrial")*1000</f>
        <v>0</v>
      </c>
      <c r="H60" s="51">
        <f ca="1">SUMIFS(OFFSET(Persistance!$F:$F,0,$A$2-Persistance!$K$1),Persistance!$B:$B,'2013'!$A60,Persistance!$D:$D,'2013'!H$5,Persistance!$A:$A,"Industrial")*1000</f>
        <v>0</v>
      </c>
      <c r="I60" s="51">
        <f ca="1">SUMIFS(OFFSET(Persistance!$F:$F,0,$A$2-Persistance!$K$1),Persistance!$B:$B,'2013'!$A60,Persistance!$D:$D,'2013'!I$5,Persistance!$A:$A,"Industrial")*1000</f>
        <v>0</v>
      </c>
      <c r="J60" s="51">
        <f ca="1">SUMIFS(OFFSET(Persistance!$F:$F,0,$A$2-Persistance!$K$1),Persistance!$B:$B,'2013'!$A60,Persistance!$D:$D,'2013'!J$5,Persistance!$A:$A,"Industrial")*1000</f>
        <v>0</v>
      </c>
      <c r="K60" s="51">
        <f ca="1">SUMIFS(OFFSET(Persistance!$F:$F,0,$A$2-Persistance!$K$1),Persistance!$B:$B,'2013'!$A60,Persistance!$D:$D,'2013'!K$5,Persistance!$A:$A,"Industrial")*1000</f>
        <v>0</v>
      </c>
      <c r="L60" s="34">
        <f t="shared" ref="L60:L63" ca="1" si="7">SUM(B60:K60)*12</f>
        <v>0</v>
      </c>
      <c r="M60" s="34"/>
      <c r="N60" s="35"/>
      <c r="O60" s="36"/>
      <c r="P60" s="36"/>
      <c r="Q60" s="36"/>
      <c r="R60" s="2"/>
      <c r="S60" s="2"/>
      <c r="T60" s="2"/>
      <c r="U60" s="2"/>
    </row>
    <row r="61" spans="1:21" x14ac:dyDescent="0.25">
      <c r="A61" t="s">
        <v>61</v>
      </c>
      <c r="B61" s="51">
        <f ca="1">SUMIFS(OFFSET(Persistance!$F:$F,0,$A$2-Persistance!$K$1),Persistance!$B:$B,'2013'!$A61,Persistance!$D:$D,'2013'!B$5,Persistance!$A:$A,"Industrial")*1000</f>
        <v>0</v>
      </c>
      <c r="C61" s="51">
        <f ca="1">SUMIFS(OFFSET(Persistance!$F:$F,0,$A$2-Persistance!$K$1),Persistance!$B:$B,'2013'!$A61,Persistance!$D:$D,'2013'!C$5,Persistance!$A:$A,"Industrial")*1000</f>
        <v>0</v>
      </c>
      <c r="D61" s="51">
        <f ca="1">SUMIFS(OFFSET(Persistance!$F:$F,0,$A$2-Persistance!$K$1),Persistance!$B:$B,'2013'!$A61,Persistance!$D:$D,'2013'!D$5,Persistance!$A:$A,"Industrial")*1000</f>
        <v>0</v>
      </c>
      <c r="E61" s="51">
        <f ca="1">SUMIFS(OFFSET(Persistance!$F:$F,0,$A$2-Persistance!$K$1),Persistance!$B:$B,'2013'!$A61,Persistance!$D:$D,'2013'!E$5,Persistance!$A:$A,"Industrial")*1000</f>
        <v>0</v>
      </c>
      <c r="F61" s="51">
        <f ca="1">SUMIFS(OFFSET(Persistance!$F:$F,0,$A$2-Persistance!$K$1),Persistance!$B:$B,'2013'!$A61,Persistance!$D:$D,'2013'!F$5,Persistance!$A:$A,"Industrial")*1000</f>
        <v>0</v>
      </c>
      <c r="G61" s="51">
        <f ca="1">SUMIFS(OFFSET(Persistance!$F:$F,0,$A$2-Persistance!$K$1),Persistance!$B:$B,'2013'!$A61,Persistance!$D:$D,'2013'!G$5,Persistance!$A:$A,"Industrial")*1000</f>
        <v>0</v>
      </c>
      <c r="H61" s="51">
        <f ca="1">SUMIFS(OFFSET(Persistance!$F:$F,0,$A$2-Persistance!$K$1),Persistance!$B:$B,'2013'!$A61,Persistance!$D:$D,'2013'!H$5,Persistance!$A:$A,"Industrial")*1000</f>
        <v>0</v>
      </c>
      <c r="I61" s="51">
        <f ca="1">SUMIFS(OFFSET(Persistance!$F:$F,0,$A$2-Persistance!$K$1),Persistance!$B:$B,'2013'!$A61,Persistance!$D:$D,'2013'!I$5,Persistance!$A:$A,"Industrial")*1000</f>
        <v>0</v>
      </c>
      <c r="J61" s="51">
        <f ca="1">SUMIFS(OFFSET(Persistance!$F:$F,0,$A$2-Persistance!$K$1),Persistance!$B:$B,'2013'!$A61,Persistance!$D:$D,'2013'!J$5,Persistance!$A:$A,"Industrial")*1000</f>
        <v>0</v>
      </c>
      <c r="K61" s="51">
        <f ca="1">SUMIFS(OFFSET(Persistance!$F:$F,0,$A$2-Persistance!$K$1),Persistance!$B:$B,'2013'!$A61,Persistance!$D:$D,'2013'!K$5,Persistance!$A:$A,"Industrial")*1000</f>
        <v>0</v>
      </c>
      <c r="L61" s="34">
        <f t="shared" ca="1" si="7"/>
        <v>0</v>
      </c>
      <c r="M61" s="34"/>
      <c r="N61" s="35"/>
      <c r="O61" s="36"/>
      <c r="P61" s="36"/>
      <c r="Q61" s="36"/>
      <c r="R61" s="2"/>
      <c r="S61" s="2"/>
      <c r="T61" s="2"/>
      <c r="U61" s="2"/>
    </row>
    <row r="62" spans="1:21" x14ac:dyDescent="0.25">
      <c r="A62" t="s">
        <v>59</v>
      </c>
      <c r="B62" s="51">
        <f ca="1">SUMIFS(OFFSET(Persistance!$F:$F,0,$A$2-Persistance!$K$1),Persistance!$B:$B,'2013'!$A62,Persistance!$D:$D,'2013'!B$5,Persistance!$A:$A,"Industrial")*1000</f>
        <v>0</v>
      </c>
      <c r="C62" s="51">
        <f ca="1">SUMIFS(OFFSET(Persistance!$F:$F,0,$A$2-Persistance!$K$1),Persistance!$B:$B,'2013'!$A62,Persistance!$D:$D,'2013'!C$5,Persistance!$A:$A,"Industrial")*1000</f>
        <v>0</v>
      </c>
      <c r="D62" s="51">
        <f ca="1">SUMIFS(OFFSET(Persistance!$F:$F,0,$A$2-Persistance!$K$1),Persistance!$B:$B,'2013'!$A62,Persistance!$D:$D,'2013'!D$5,Persistance!$A:$A,"Industrial")*1000</f>
        <v>0</v>
      </c>
      <c r="E62" s="51">
        <f ca="1">SUMIFS(OFFSET(Persistance!$F:$F,0,$A$2-Persistance!$K$1),Persistance!$B:$B,'2013'!$A62,Persistance!$D:$D,'2013'!E$5,Persistance!$A:$A,"Industrial")*1000</f>
        <v>0</v>
      </c>
      <c r="F62" s="51">
        <f ca="1">SUMIFS(OFFSET(Persistance!$F:$F,0,$A$2-Persistance!$K$1),Persistance!$B:$B,'2013'!$A62,Persistance!$D:$D,'2013'!F$5,Persistance!$A:$A,"Industrial")*1000</f>
        <v>0</v>
      </c>
      <c r="G62" s="51">
        <f ca="1">SUMIFS(OFFSET(Persistance!$F:$F,0,$A$2-Persistance!$K$1),Persistance!$B:$B,'2013'!$A62,Persistance!$D:$D,'2013'!G$5,Persistance!$A:$A,"Industrial")*1000</f>
        <v>0</v>
      </c>
      <c r="H62" s="51">
        <f ca="1">SUMIFS(OFFSET(Persistance!$F:$F,0,$A$2-Persistance!$K$1),Persistance!$B:$B,'2013'!$A62,Persistance!$D:$D,'2013'!H$5,Persistance!$A:$A,"Industrial")*1000</f>
        <v>0</v>
      </c>
      <c r="I62" s="51">
        <f ca="1">SUMIFS(OFFSET(Persistance!$F:$F,0,$A$2-Persistance!$K$1),Persistance!$B:$B,'2013'!$A62,Persistance!$D:$D,'2013'!I$5,Persistance!$A:$A,"Industrial")*1000</f>
        <v>0</v>
      </c>
      <c r="J62" s="51">
        <f ca="1">SUMIFS(OFFSET(Persistance!$F:$F,0,$A$2-Persistance!$K$1),Persistance!$B:$B,'2013'!$A62,Persistance!$D:$D,'2013'!J$5,Persistance!$A:$A,"Industrial")*1000</f>
        <v>0</v>
      </c>
      <c r="K62" s="51">
        <f ca="1">SUMIFS(OFFSET(Persistance!$F:$F,0,$A$2-Persistance!$K$1),Persistance!$B:$B,'2013'!$A62,Persistance!$D:$D,'2013'!K$5,Persistance!$A:$A,"Industrial")*1000</f>
        <v>0</v>
      </c>
      <c r="L62" s="34">
        <f t="shared" ca="1" si="7"/>
        <v>0</v>
      </c>
      <c r="M62" s="34"/>
      <c r="N62" s="35"/>
      <c r="O62" s="36"/>
      <c r="P62" s="36"/>
      <c r="Q62" s="36"/>
      <c r="R62" s="2"/>
      <c r="S62" s="2"/>
      <c r="T62" s="2"/>
      <c r="U62" s="2"/>
    </row>
    <row r="63" spans="1:21" x14ac:dyDescent="0.25">
      <c r="A63" t="s">
        <v>14</v>
      </c>
      <c r="B63" s="51">
        <f ca="1">SUMIFS(OFFSET(Persistance!$F:$F,0,$A$2-Persistance!$F$1),Persistance!$B:$B,$A63,Persistance!$D:$D,B$5)*1000*'Retrofit Split'!B$7</f>
        <v>30.958106131722101</v>
      </c>
      <c r="C63" s="51">
        <f ca="1">SUMIFS(OFFSET(Persistance!$F:$F,0,$A$2-Persistance!$F$1),Persistance!$B:$B,$A63,Persistance!$D:$D,C$5)*1000*'Retrofit Split'!C$7</f>
        <v>92.949120127940205</v>
      </c>
      <c r="D63" s="51">
        <f ca="1">SUMIFS(OFFSET(Persistance!$F:$F,0,$A$2-Persistance!$F$1),Persistance!$B:$B,$A63,Persistance!$D:$D,D$5)*1000*'Retrofit Split'!D$7</f>
        <v>15.805120692456541</v>
      </c>
      <c r="E63" s="51">
        <f ca="1">SUMIFS(OFFSET(Persistance!$F:$F,0,$A$2-Persistance!$F$1),Persistance!$B:$B,$A63,Persistance!$D:$D,E$5)*1000*'Retrofit Split'!E$7</f>
        <v>0</v>
      </c>
      <c r="F63" s="51">
        <f ca="1">SUMIFS(OFFSET(Persistance!$F:$F,0,$A$2-Persistance!$F$1),Persistance!$B:$B,$A63,Persistance!$D:$D,F$5)*1000*'Retrofit Split'!F$7</f>
        <v>0</v>
      </c>
      <c r="G63" s="51">
        <f ca="1">SUMIFS(OFFSET(Persistance!$F:$F,0,$A$2-Persistance!$F$1),Persistance!$B:$B,$A63,Persistance!$D:$D,G$5)*1000*'Retrofit Split'!G$7</f>
        <v>0</v>
      </c>
      <c r="H63" s="51">
        <f ca="1">SUMIFS(OFFSET(Persistance!$F:$F,0,$A$2-Persistance!$F$1),Persistance!$B:$B,$A63,Persistance!$D:$D,H$5)*1000*'Retrofit Split'!H$7</f>
        <v>0</v>
      </c>
      <c r="I63" s="51">
        <f ca="1">SUMIFS(OFFSET(Persistance!$F:$F,0,$A$2-Persistance!$F$1),Persistance!$B:$B,$A63,Persistance!$D:$D,I$5)*1000*'Retrofit Split'!I$7</f>
        <v>0</v>
      </c>
      <c r="J63" s="51">
        <f ca="1">SUMIFS(OFFSET(Persistance!$F:$F,0,$A$2-Persistance!$F$1),Persistance!$B:$B,$A63,Persistance!$D:$D,J$5)*1000*'Retrofit Split'!J$7</f>
        <v>0</v>
      </c>
      <c r="K63" s="51">
        <f ca="1">SUMIFS(OFFSET(Persistance!$F:$F,0,$A$2-Persistance!$F$1),Persistance!$B:$B,$A63,Persistance!$D:$D,K$5)*1000*'Retrofit Split'!K$7</f>
        <v>0</v>
      </c>
      <c r="L63" s="34">
        <f t="shared" ca="1" si="7"/>
        <v>1676.5481634254261</v>
      </c>
      <c r="M63" s="34"/>
      <c r="N63" s="35"/>
      <c r="O63" s="36"/>
      <c r="P63" s="36"/>
      <c r="Q63" s="36"/>
      <c r="R63" s="2"/>
      <c r="S63" s="28" t="s">
        <v>48</v>
      </c>
      <c r="T63" s="28" t="s">
        <v>17</v>
      </c>
      <c r="U63" s="2" t="s">
        <v>49</v>
      </c>
    </row>
    <row r="64" spans="1:21" x14ac:dyDescent="0.25">
      <c r="B64" s="2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6"/>
      <c r="P64" s="36"/>
      <c r="Q64" s="36"/>
      <c r="R64" s="2"/>
      <c r="S64" s="29">
        <f ca="1">$A$2</f>
        <v>2013</v>
      </c>
      <c r="T64" s="50">
        <f ca="1">AVERAGEIFS(Rates!E:E,Rates!F:F,'2013'!S64,Rates!G:G,"Industrial")</f>
        <v>1.8993</v>
      </c>
      <c r="U64" s="30">
        <f ca="1">AVERAGEIFS(Rates!B:B,Rates!F:F,'2013'!S64,Rates!G:G,"Industrial")</f>
        <v>41395</v>
      </c>
    </row>
    <row r="65" spans="1:21" x14ac:dyDescent="0.25">
      <c r="A65" t="s">
        <v>19</v>
      </c>
      <c r="B65" s="64">
        <f ca="1">SUM(B53:B64)</f>
        <v>30.958106131722101</v>
      </c>
      <c r="C65" s="64">
        <f ca="1">SUM(C53:C64)</f>
        <v>92.949120127940205</v>
      </c>
      <c r="D65" s="64">
        <f ca="1">SUM(D53:D64)</f>
        <v>165.71171869245654</v>
      </c>
      <c r="E65" s="64">
        <f t="shared" ref="E65:L65" ca="1" si="8">SUM(E53:E64)</f>
        <v>0</v>
      </c>
      <c r="F65" s="64">
        <f t="shared" ca="1" si="8"/>
        <v>0</v>
      </c>
      <c r="G65" s="64">
        <f t="shared" ca="1" si="8"/>
        <v>0</v>
      </c>
      <c r="H65" s="64">
        <f t="shared" ca="1" si="8"/>
        <v>0</v>
      </c>
      <c r="I65" s="64">
        <f t="shared" ca="1" si="8"/>
        <v>0</v>
      </c>
      <c r="J65" s="64">
        <f t="shared" ca="1" si="8"/>
        <v>0</v>
      </c>
      <c r="K65" s="64">
        <f t="shared" ca="1" si="8"/>
        <v>0</v>
      </c>
      <c r="L65" s="64">
        <f t="shared" ca="1" si="8"/>
        <v>1678.678139425426</v>
      </c>
      <c r="M65" s="64">
        <f>Summary!$G$8</f>
        <v>631</v>
      </c>
      <c r="N65" s="64">
        <f ca="1">(((MONTH(U64)-1)/12)*T65)+(((12-(MONTH(U64)-1))/12)*T64)</f>
        <v>1.8962666666666665</v>
      </c>
      <c r="O65" s="64">
        <f ca="1">ROUND(L65*N65,2)</f>
        <v>3183.22</v>
      </c>
      <c r="P65" s="64">
        <f ca="1">ROUND(M65*N65,2)</f>
        <v>1196.54</v>
      </c>
      <c r="Q65" s="64">
        <f ca="1">+O65-P65</f>
        <v>1986.6799999999998</v>
      </c>
      <c r="R65" s="2"/>
      <c r="S65" s="29">
        <f ca="1">S64-1</f>
        <v>2012</v>
      </c>
      <c r="T65" s="50">
        <f ca="1">AVERAGEIFS(Rates!E:E,Rates!F:F,'2013'!S65,Rates!G:G,"Industrial")</f>
        <v>1.8902000000000001</v>
      </c>
      <c r="U65" s="2"/>
    </row>
    <row r="66" spans="1:21" x14ac:dyDescent="0.25">
      <c r="B66" s="65"/>
      <c r="C66" s="65"/>
      <c r="D66" s="65"/>
      <c r="E66" s="53"/>
      <c r="F66" s="53"/>
      <c r="G66" s="53"/>
      <c r="H66" s="53"/>
      <c r="I66" s="53"/>
      <c r="J66" s="53"/>
      <c r="K66" s="53"/>
      <c r="L66" s="53">
        <f ca="1">L65/12</f>
        <v>139.88984495211884</v>
      </c>
      <c r="M66" s="53"/>
      <c r="N66" s="53"/>
      <c r="O66" s="53"/>
      <c r="P66" s="53"/>
      <c r="Q66" s="53"/>
      <c r="R66" s="2"/>
      <c r="S66" s="2"/>
      <c r="T66" s="2"/>
      <c r="U66" s="2"/>
    </row>
    <row r="67" spans="1:21" ht="15.75" thickBot="1" x14ac:dyDescent="0.3">
      <c r="A67" t="s">
        <v>20</v>
      </c>
      <c r="B67" s="66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67">
        <f ca="1">SUM(O30:O66)</f>
        <v>17699.82</v>
      </c>
      <c r="P67" s="67">
        <f ca="1">SUM(P30:P66)</f>
        <v>10893.630000000001</v>
      </c>
      <c r="Q67" s="67">
        <f ca="1">SUM(Q30:Q66)</f>
        <v>6806.1899999999987</v>
      </c>
      <c r="R67" s="2"/>
      <c r="S67" s="2"/>
      <c r="T67" s="2"/>
      <c r="U67" s="2"/>
    </row>
    <row r="68" spans="1:21" ht="15.75" thickTop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  <row r="69" spans="1:2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R69" s="2"/>
      <c r="S69" s="2"/>
      <c r="T69" s="2"/>
      <c r="U69" s="2"/>
    </row>
    <row r="70" spans="1:2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R70" s="2"/>
      <c r="S70" s="2"/>
      <c r="T70" s="2"/>
      <c r="U70" s="2"/>
    </row>
    <row r="71" spans="1:21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R71" s="2"/>
      <c r="S71" s="2"/>
      <c r="T71" s="2"/>
      <c r="U7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topLeftCell="A40" workbookViewId="0">
      <selection activeCell="A70" sqref="A70"/>
    </sheetView>
  </sheetViews>
  <sheetFormatPr defaultRowHeight="15" x14ac:dyDescent="0.25"/>
  <cols>
    <col min="1" max="1" width="33.5703125" customWidth="1"/>
    <col min="2" max="14" width="13.7109375" customWidth="1"/>
    <col min="15" max="17" width="13.7109375" style="1" customWidth="1"/>
    <col min="21" max="21" width="10.42578125" bestFit="1" customWidth="1"/>
  </cols>
  <sheetData>
    <row r="1" spans="1:21" x14ac:dyDescent="0.25">
      <c r="A1" t="str">
        <f ca="1">A2&amp;" LRAMVA Calculation"</f>
        <v>2014 LRAMVA Calculation</v>
      </c>
    </row>
    <row r="2" spans="1:21" x14ac:dyDescent="0.25">
      <c r="A2">
        <f ca="1">_xlfn.NUMBERVALUE(MID(CELL("filename",A1),FIND("]",CELL("filename",A1))+1,255))</f>
        <v>2014</v>
      </c>
    </row>
    <row r="4" spans="1:21" x14ac:dyDescent="0.25">
      <c r="L4" s="4">
        <f ca="1">A2</f>
        <v>2014</v>
      </c>
    </row>
    <row r="5" spans="1:21" x14ac:dyDescent="0.25">
      <c r="B5" s="4">
        <v>2011</v>
      </c>
      <c r="C5" s="4">
        <f>B5+1</f>
        <v>2012</v>
      </c>
      <c r="D5" s="4">
        <f>C5+1</f>
        <v>2013</v>
      </c>
      <c r="E5" s="4">
        <f t="shared" ref="E5:K5" si="0">D5+1</f>
        <v>2014</v>
      </c>
      <c r="F5" s="4">
        <f t="shared" si="0"/>
        <v>2015</v>
      </c>
      <c r="G5" s="4">
        <f t="shared" si="0"/>
        <v>2016</v>
      </c>
      <c r="H5" s="4">
        <f t="shared" si="0"/>
        <v>2017</v>
      </c>
      <c r="I5" s="4">
        <f t="shared" si="0"/>
        <v>2018</v>
      </c>
      <c r="J5" s="4">
        <f t="shared" si="0"/>
        <v>2019</v>
      </c>
      <c r="K5" s="4">
        <f t="shared" si="0"/>
        <v>2020</v>
      </c>
      <c r="L5" s="4" t="s">
        <v>15</v>
      </c>
      <c r="M5" t="s">
        <v>22</v>
      </c>
      <c r="N5" t="s">
        <v>16</v>
      </c>
      <c r="O5" s="9" t="s">
        <v>21</v>
      </c>
      <c r="P5" s="9" t="s">
        <v>22</v>
      </c>
    </row>
    <row r="6" spans="1:21" x14ac:dyDescent="0.25">
      <c r="A6" s="5" t="s">
        <v>11</v>
      </c>
      <c r="B6" s="5" t="str">
        <f ca="1">IF(B5&lt;$A$2,"Persistance",IF(B5=$A$2,"Current","N/A"))</f>
        <v>Persistance</v>
      </c>
      <c r="C6" s="5" t="str">
        <f t="shared" ref="C6:K6" ca="1" si="1">IF(C5&lt;$A$2,"Persistance",IF(C5=$A$2,"Current","N/A"))</f>
        <v>Persistance</v>
      </c>
      <c r="D6" s="5" t="str">
        <f t="shared" ca="1" si="1"/>
        <v>Persistance</v>
      </c>
      <c r="E6" s="5" t="str">
        <f t="shared" ca="1" si="1"/>
        <v>Current</v>
      </c>
      <c r="F6" s="5" t="str">
        <f t="shared" ca="1" si="1"/>
        <v>N/A</v>
      </c>
      <c r="G6" s="5" t="str">
        <f t="shared" ca="1" si="1"/>
        <v>N/A</v>
      </c>
      <c r="H6" s="5" t="str">
        <f t="shared" ca="1" si="1"/>
        <v>N/A</v>
      </c>
      <c r="I6" s="5" t="str">
        <f t="shared" ca="1" si="1"/>
        <v>N/A</v>
      </c>
      <c r="J6" s="5" t="str">
        <f t="shared" ca="1" si="1"/>
        <v>N/A</v>
      </c>
      <c r="K6" s="5" t="str">
        <f t="shared" ca="1" si="1"/>
        <v>N/A</v>
      </c>
      <c r="L6" s="5" t="s">
        <v>18</v>
      </c>
      <c r="M6" s="7" t="s">
        <v>18</v>
      </c>
      <c r="N6" s="7" t="s">
        <v>17</v>
      </c>
      <c r="O6" s="8" t="s">
        <v>23</v>
      </c>
      <c r="P6" s="8" t="s">
        <v>23</v>
      </c>
      <c r="Q6" s="8" t="s">
        <v>24</v>
      </c>
    </row>
    <row r="8" spans="1:21" x14ac:dyDescent="0.25">
      <c r="A8" t="s">
        <v>67</v>
      </c>
      <c r="B8" s="51">
        <f ca="1">SUMIFS(OFFSET(Persistance!$K:$K,0,$A$2-Persistance!$K$1),Persistance!$B:$B,$A8,Persistance!$D:$D,B$5,Persistance!$A:$A,"Consumer")*1000</f>
        <v>0</v>
      </c>
      <c r="C8" s="51">
        <f ca="1">SUMIFS(OFFSET(Persistance!$K:$K,0,$A$2-Persistance!$K$1),Persistance!$B:$B,$A8,Persistance!$D:$D,C$5,Persistance!$A:$A,"Consumer")*1000</f>
        <v>0</v>
      </c>
      <c r="D8" s="51">
        <f ca="1">SUMIFS(OFFSET(Persistance!$K:$K,0,$A$2-Persistance!$K$1),Persistance!$B:$B,$A8,Persistance!$D:$D,D$5,Persistance!$A:$A,"Consumer")*1000</f>
        <v>0</v>
      </c>
      <c r="E8" s="51">
        <f ca="1">SUMIFS(OFFSET(Persistance!$K:$K,0,$A$2-Persistance!$K$1),Persistance!$B:$B,$A8,Persistance!$D:$D,E$5,Persistance!$A:$A,"Consumer")*1000</f>
        <v>0</v>
      </c>
      <c r="F8" s="51">
        <f ca="1">SUMIFS(OFFSET(Persistance!$K:$K,0,$A$2-Persistance!$K$1),Persistance!$B:$B,$A8,Persistance!$D:$D,F$5,Persistance!$A:$A,"Consumer")*1000</f>
        <v>0</v>
      </c>
      <c r="G8" s="51">
        <f ca="1">SUMIFS(OFFSET(Persistance!$K:$K,0,$A$2-Persistance!$K$1),Persistance!$B:$B,$A8,Persistance!$D:$D,G$5,Persistance!$A:$A,"Consumer")*1000</f>
        <v>0</v>
      </c>
      <c r="H8" s="51">
        <f ca="1">SUMIFS(OFFSET(Persistance!$K:$K,0,$A$2-Persistance!$K$1),Persistance!$B:$B,$A8,Persistance!$D:$D,H$5,Persistance!$A:$A,"Consumer")*1000</f>
        <v>0</v>
      </c>
      <c r="I8" s="51">
        <f ca="1">SUMIFS(OFFSET(Persistance!$K:$K,0,$A$2-Persistance!$K$1),Persistance!$B:$B,$A8,Persistance!$D:$D,I$5,Persistance!$A:$A,"Consumer")*1000</f>
        <v>0</v>
      </c>
      <c r="J8" s="51">
        <f ca="1">SUMIFS(OFFSET(Persistance!$K:$K,0,$A$2-Persistance!$K$1),Persistance!$B:$B,$A8,Persistance!$D:$D,J$5,Persistance!$A:$A,"Consumer")*1000</f>
        <v>0</v>
      </c>
      <c r="K8" s="51">
        <f ca="1">SUMIFS(OFFSET(Persistance!$K:$K,0,$A$2-Persistance!$K$1),Persistance!$B:$B,$A8,Persistance!$D:$D,K$5,Persistance!$A:$A,"Consumer")*1000</f>
        <v>0</v>
      </c>
      <c r="L8" s="34">
        <f ca="1">SUM(B8:K8)</f>
        <v>0</v>
      </c>
      <c r="M8" s="34"/>
      <c r="N8" s="35"/>
      <c r="O8" s="36"/>
      <c r="P8" s="36"/>
      <c r="Q8" s="36"/>
      <c r="R8" s="2"/>
      <c r="U8" s="2"/>
    </row>
    <row r="9" spans="1:21" x14ac:dyDescent="0.25">
      <c r="A9" t="s">
        <v>73</v>
      </c>
      <c r="B9" s="51">
        <f ca="1">SUMIFS(OFFSET(Persistance!$K:$K,0,$A$2-Persistance!$K$1),Persistance!$B:$B,$A9,Persistance!$D:$D,B$5,Persistance!$A:$A,"Consumer")*1000</f>
        <v>0</v>
      </c>
      <c r="C9" s="51">
        <f ca="1">SUMIFS(OFFSET(Persistance!$K:$K,0,$A$2-Persistance!$K$1),Persistance!$B:$B,$A9,Persistance!$D:$D,C$5,Persistance!$A:$A,"Consumer")*1000</f>
        <v>0</v>
      </c>
      <c r="D9" s="51">
        <f ca="1">SUMIFS(OFFSET(Persistance!$K:$K,0,$A$2-Persistance!$K$1),Persistance!$B:$B,$A9,Persistance!$D:$D,D$5,Persistance!$A:$A,"Consumer")*1000</f>
        <v>8633.4702824550004</v>
      </c>
      <c r="E9" s="51">
        <f ca="1">SUMIFS(OFFSET(Persistance!$K:$K,0,$A$2-Persistance!$K$1),Persistance!$B:$B,$A9,Persistance!$D:$D,E$5,Persistance!$A:$A,"Consumer")*1000</f>
        <v>0</v>
      </c>
      <c r="F9" s="51">
        <f ca="1">SUMIFS(OFFSET(Persistance!$K:$K,0,$A$2-Persistance!$K$1),Persistance!$B:$B,$A9,Persistance!$D:$D,F$5,Persistance!$A:$A,"Consumer")*1000</f>
        <v>0</v>
      </c>
      <c r="G9" s="51">
        <f ca="1">SUMIFS(OFFSET(Persistance!$K:$K,0,$A$2-Persistance!$K$1),Persistance!$B:$B,$A9,Persistance!$D:$D,G$5,Persistance!$A:$A,"Consumer")*1000</f>
        <v>0</v>
      </c>
      <c r="H9" s="51">
        <f ca="1">SUMIFS(OFFSET(Persistance!$K:$K,0,$A$2-Persistance!$K$1),Persistance!$B:$B,$A9,Persistance!$D:$D,H$5,Persistance!$A:$A,"Consumer")*1000</f>
        <v>0</v>
      </c>
      <c r="I9" s="51">
        <f ca="1">SUMIFS(OFFSET(Persistance!$K:$K,0,$A$2-Persistance!$K$1),Persistance!$B:$B,$A9,Persistance!$D:$D,I$5,Persistance!$A:$A,"Consumer")*1000</f>
        <v>0</v>
      </c>
      <c r="J9" s="51">
        <f ca="1">SUMIFS(OFFSET(Persistance!$K:$K,0,$A$2-Persistance!$K$1),Persistance!$B:$B,$A9,Persistance!$D:$D,J$5,Persistance!$A:$A,"Consumer")*1000</f>
        <v>0</v>
      </c>
      <c r="K9" s="51">
        <f ca="1">SUMIFS(OFFSET(Persistance!$K:$K,0,$A$2-Persistance!$K$1),Persistance!$B:$B,$A9,Persistance!$D:$D,K$5,Persistance!$A:$A,"Consumer")*1000</f>
        <v>0</v>
      </c>
      <c r="L9" s="34">
        <f t="shared" ref="L9:L28" ca="1" si="2">SUM(B9:K9)</f>
        <v>8633.4702824550004</v>
      </c>
      <c r="M9" s="34"/>
      <c r="N9" s="35"/>
      <c r="O9" s="36"/>
      <c r="P9" s="36"/>
      <c r="Q9" s="36"/>
      <c r="R9" s="2"/>
      <c r="S9" s="2"/>
      <c r="T9" s="2"/>
      <c r="U9" s="2"/>
    </row>
    <row r="10" spans="1:21" x14ac:dyDescent="0.25">
      <c r="A10" t="s">
        <v>1</v>
      </c>
      <c r="B10" s="51">
        <f ca="1">SUMIFS(OFFSET(Persistance!$K:$K,0,$A$2-Persistance!$K$1),Persistance!$B:$B,$A10,Persistance!$D:$D,B$5,Persistance!$A:$A,"Consumer")*1000</f>
        <v>63.783490881380978</v>
      </c>
      <c r="C10" s="51">
        <f ca="1">SUMIFS(OFFSET(Persistance!$K:$K,0,$A$2-Persistance!$K$1),Persistance!$B:$B,$A10,Persistance!$D:$D,C$5,Persistance!$A:$A,"Consumer")*1000</f>
        <v>6693.1949622850116</v>
      </c>
      <c r="D10" s="51">
        <f ca="1">SUMIFS(OFFSET(Persistance!$K:$K,0,$A$2-Persistance!$K$1),Persistance!$B:$B,$A10,Persistance!$D:$D,D$5,Persistance!$A:$A,"Consumer")*1000</f>
        <v>369.43987800000002</v>
      </c>
      <c r="E10" s="51">
        <f ca="1">SUMIFS(OFFSET(Persistance!$K:$K,0,$A$2-Persistance!$K$1),Persistance!$B:$B,$A10,Persistance!$D:$D,E$5,Persistance!$A:$A,"Consumer")*1000</f>
        <v>738.87975589999996</v>
      </c>
      <c r="F10" s="51">
        <f ca="1">SUMIFS(OFFSET(Persistance!$K:$K,0,$A$2-Persistance!$K$1),Persistance!$B:$B,$A10,Persistance!$D:$D,F$5,Persistance!$A:$A,"Consumer")*1000</f>
        <v>0</v>
      </c>
      <c r="G10" s="51">
        <f ca="1">SUMIFS(OFFSET(Persistance!$K:$K,0,$A$2-Persistance!$K$1),Persistance!$B:$B,$A10,Persistance!$D:$D,G$5,Persistance!$A:$A,"Consumer")*1000</f>
        <v>0</v>
      </c>
      <c r="H10" s="51">
        <f ca="1">SUMIFS(OFFSET(Persistance!$K:$K,0,$A$2-Persistance!$K$1),Persistance!$B:$B,$A10,Persistance!$D:$D,H$5,Persistance!$A:$A,"Consumer")*1000</f>
        <v>0</v>
      </c>
      <c r="I10" s="51">
        <f ca="1">SUMIFS(OFFSET(Persistance!$K:$K,0,$A$2-Persistance!$K$1),Persistance!$B:$B,$A10,Persistance!$D:$D,I$5,Persistance!$A:$A,"Consumer")*1000</f>
        <v>0</v>
      </c>
      <c r="J10" s="51">
        <f ca="1">SUMIFS(OFFSET(Persistance!$K:$K,0,$A$2-Persistance!$K$1),Persistance!$B:$B,$A10,Persistance!$D:$D,J$5,Persistance!$A:$A,"Consumer")*1000</f>
        <v>0</v>
      </c>
      <c r="K10" s="51">
        <f ca="1">SUMIFS(OFFSET(Persistance!$K:$K,0,$A$2-Persistance!$K$1),Persistance!$B:$B,$A10,Persistance!$D:$D,K$5,Persistance!$A:$A,"Consumer")*1000</f>
        <v>0</v>
      </c>
      <c r="L10" s="34">
        <f t="shared" ca="1" si="2"/>
        <v>7865.2980870663923</v>
      </c>
      <c r="M10" s="34"/>
      <c r="N10" s="35"/>
      <c r="O10" s="36"/>
      <c r="P10" s="36"/>
      <c r="Q10" s="36"/>
      <c r="R10" s="2"/>
      <c r="S10" s="2"/>
      <c r="T10" s="2"/>
      <c r="U10" s="2"/>
    </row>
    <row r="11" spans="1:21" x14ac:dyDescent="0.25">
      <c r="A11" t="s">
        <v>0</v>
      </c>
      <c r="B11" s="51">
        <f ca="1">SUMIFS(OFFSET(Persistance!$K:$K,0,$A$2-Persistance!$K$1),Persistance!$B:$B,$A11,Persistance!$D:$D,B$5,Persistance!$A:$A,"Consumer")*1000</f>
        <v>43523.796265949379</v>
      </c>
      <c r="C11" s="51">
        <f ca="1">SUMIFS(OFFSET(Persistance!$K:$K,0,$A$2-Persistance!$K$1),Persistance!$B:$B,$A11,Persistance!$D:$D,C$5,Persistance!$A:$A,"Consumer")*1000</f>
        <v>40192.787655372471</v>
      </c>
      <c r="D11" s="51">
        <f ca="1">SUMIFS(OFFSET(Persistance!$K:$K,0,$A$2-Persistance!$K$1),Persistance!$B:$B,$A11,Persistance!$D:$D,D$5,Persistance!$A:$A,"Consumer")*1000</f>
        <v>29521.39728105376</v>
      </c>
      <c r="E11" s="51">
        <f ca="1">SUMIFS(OFFSET(Persistance!$K:$K,0,$A$2-Persistance!$K$1),Persistance!$B:$B,$A11,Persistance!$D:$D,E$5,Persistance!$A:$A,"Consumer")*1000</f>
        <v>37342.041219483806</v>
      </c>
      <c r="F11" s="51">
        <f ca="1">SUMIFS(OFFSET(Persistance!$K:$K,0,$A$2-Persistance!$K$1),Persistance!$B:$B,$A11,Persistance!$D:$D,F$5,Persistance!$A:$A,"Consumer")*1000</f>
        <v>0</v>
      </c>
      <c r="G11" s="51">
        <f ca="1">SUMIFS(OFFSET(Persistance!$K:$K,0,$A$2-Persistance!$K$1),Persistance!$B:$B,$A11,Persistance!$D:$D,G$5,Persistance!$A:$A,"Consumer")*1000</f>
        <v>0</v>
      </c>
      <c r="H11" s="51">
        <f ca="1">SUMIFS(OFFSET(Persistance!$K:$K,0,$A$2-Persistance!$K$1),Persistance!$B:$B,$A11,Persistance!$D:$D,H$5,Persistance!$A:$A,"Consumer")*1000</f>
        <v>0</v>
      </c>
      <c r="I11" s="51">
        <f ca="1">SUMIFS(OFFSET(Persistance!$K:$K,0,$A$2-Persistance!$K$1),Persistance!$B:$B,$A11,Persistance!$D:$D,I$5,Persistance!$A:$A,"Consumer")*1000</f>
        <v>0</v>
      </c>
      <c r="J11" s="51">
        <f ca="1">SUMIFS(OFFSET(Persistance!$K:$K,0,$A$2-Persistance!$K$1),Persistance!$B:$B,$A11,Persistance!$D:$D,J$5,Persistance!$A:$A,"Consumer")*1000</f>
        <v>0</v>
      </c>
      <c r="K11" s="51">
        <f ca="1">SUMIFS(OFFSET(Persistance!$K:$K,0,$A$2-Persistance!$K$1),Persistance!$B:$B,$A11,Persistance!$D:$D,K$5,Persistance!$A:$A,"Consumer")*1000</f>
        <v>0</v>
      </c>
      <c r="L11" s="34">
        <f t="shared" ca="1" si="2"/>
        <v>150580.02242185941</v>
      </c>
      <c r="M11" s="34"/>
      <c r="N11" s="35"/>
      <c r="O11" s="36"/>
      <c r="P11" s="36"/>
      <c r="Q11" s="36"/>
      <c r="R11" s="2"/>
      <c r="S11" s="2"/>
      <c r="T11" s="2"/>
      <c r="U11" s="2"/>
    </row>
    <row r="12" spans="1:21" x14ac:dyDescent="0.25">
      <c r="A12" t="s">
        <v>52</v>
      </c>
      <c r="B12" s="51">
        <f ca="1">SUMIFS(OFFSET(Persistance!$K:$K,0,$A$2-Persistance!$K$1),Persistance!$B:$B,$A12,Persistance!$D:$D,B$5,Persistance!$A:$A,"Consumer")*1000</f>
        <v>0</v>
      </c>
      <c r="C12" s="51">
        <f ca="1">SUMIFS(OFFSET(Persistance!$K:$K,0,$A$2-Persistance!$K$1),Persistance!$B:$B,$A12,Persistance!$D:$D,C$5,Persistance!$A:$A,"Consumer")*1000</f>
        <v>0</v>
      </c>
      <c r="D12" s="51">
        <f ca="1">SUMIFS(OFFSET(Persistance!$K:$K,0,$A$2-Persistance!$K$1),Persistance!$B:$B,$A12,Persistance!$D:$D,D$5,Persistance!$A:$A,"Consumer")*1000</f>
        <v>0</v>
      </c>
      <c r="E12" s="51">
        <f ca="1">SUMIFS(OFFSET(Persistance!$K:$K,0,$A$2-Persistance!$K$1),Persistance!$B:$B,$A12,Persistance!$D:$D,E$5,Persistance!$A:$A,"Consumer")*1000</f>
        <v>0</v>
      </c>
      <c r="F12" s="51">
        <f ca="1">SUMIFS(OFFSET(Persistance!$K:$K,0,$A$2-Persistance!$K$1),Persistance!$B:$B,$A12,Persistance!$D:$D,F$5,Persistance!$A:$A,"Consumer")*1000</f>
        <v>0</v>
      </c>
      <c r="G12" s="51">
        <f ca="1">SUMIFS(OFFSET(Persistance!$K:$K,0,$A$2-Persistance!$K$1),Persistance!$B:$B,$A12,Persistance!$D:$D,G$5,Persistance!$A:$A,"Consumer")*1000</f>
        <v>0</v>
      </c>
      <c r="H12" s="51">
        <f ca="1">SUMIFS(OFFSET(Persistance!$K:$K,0,$A$2-Persistance!$K$1),Persistance!$B:$B,$A12,Persistance!$D:$D,H$5,Persistance!$A:$A,"Consumer")*1000</f>
        <v>0</v>
      </c>
      <c r="I12" s="51">
        <f ca="1">SUMIFS(OFFSET(Persistance!$K:$K,0,$A$2-Persistance!$K$1),Persistance!$B:$B,$A12,Persistance!$D:$D,I$5,Persistance!$A:$A,"Consumer")*1000</f>
        <v>0</v>
      </c>
      <c r="J12" s="51">
        <f ca="1">SUMIFS(OFFSET(Persistance!$K:$K,0,$A$2-Persistance!$K$1),Persistance!$B:$B,$A12,Persistance!$D:$D,J$5,Persistance!$A:$A,"Consumer")*1000</f>
        <v>0</v>
      </c>
      <c r="K12" s="51">
        <f ca="1">SUMIFS(OFFSET(Persistance!$K:$K,0,$A$2-Persistance!$K$1),Persistance!$B:$B,$A12,Persistance!$D:$D,K$5,Persistance!$A:$A,"Consumer")*1000</f>
        <v>0</v>
      </c>
      <c r="L12" s="34">
        <f t="shared" ca="1" si="2"/>
        <v>0</v>
      </c>
      <c r="M12" s="34"/>
      <c r="N12" s="35"/>
      <c r="O12" s="36"/>
      <c r="P12" s="36"/>
      <c r="Q12" s="36"/>
      <c r="R12" s="2"/>
      <c r="S12" s="2"/>
      <c r="T12" s="2"/>
      <c r="U12" s="2"/>
    </row>
    <row r="13" spans="1:21" x14ac:dyDescent="0.25">
      <c r="A13" t="s">
        <v>4</v>
      </c>
      <c r="B13" s="51">
        <f ca="1">SUMIFS(OFFSET(Persistance!$K:$K,0,$A$2-Persistance!$K$1),Persistance!$B:$B,$A13,Persistance!$D:$D,B$5,Persistance!$A:$A,"Consumer")*1000</f>
        <v>35363.411686439838</v>
      </c>
      <c r="C13" s="51">
        <f ca="1">SUMIFS(OFFSET(Persistance!$K:$K,0,$A$2-Persistance!$K$1),Persistance!$B:$B,$A13,Persistance!$D:$D,C$5,Persistance!$A:$A,"Consumer")*1000</f>
        <v>29998.910254468694</v>
      </c>
      <c r="D13" s="51">
        <f ca="1">SUMIFS(OFFSET(Persistance!$K:$K,0,$A$2-Persistance!$K$1),Persistance!$B:$B,$A13,Persistance!$D:$D,D$5,Persistance!$A:$A,"Consumer")*1000</f>
        <v>0</v>
      </c>
      <c r="E13" s="51">
        <f ca="1">SUMIFS(OFFSET(Persistance!$K:$K,0,$A$2-Persistance!$K$1),Persistance!$B:$B,$A13,Persistance!$D:$D,E$5,Persistance!$A:$A,"Consumer")*1000</f>
        <v>137666.86499999999</v>
      </c>
      <c r="F13" s="51">
        <f ca="1">SUMIFS(OFFSET(Persistance!$K:$K,0,$A$2-Persistance!$K$1),Persistance!$B:$B,$A13,Persistance!$D:$D,F$5,Persistance!$A:$A,"Consumer")*1000</f>
        <v>0</v>
      </c>
      <c r="G13" s="51">
        <f ca="1">SUMIFS(OFFSET(Persistance!$K:$K,0,$A$2-Persistance!$K$1),Persistance!$B:$B,$A13,Persistance!$D:$D,G$5,Persistance!$A:$A,"Consumer")*1000</f>
        <v>0</v>
      </c>
      <c r="H13" s="51">
        <f ca="1">SUMIFS(OFFSET(Persistance!$K:$K,0,$A$2-Persistance!$K$1),Persistance!$B:$B,$A13,Persistance!$D:$D,H$5,Persistance!$A:$A,"Consumer")*1000</f>
        <v>0</v>
      </c>
      <c r="I13" s="51">
        <f ca="1">SUMIFS(OFFSET(Persistance!$K:$K,0,$A$2-Persistance!$K$1),Persistance!$B:$B,$A13,Persistance!$D:$D,I$5,Persistance!$A:$A,"Consumer")*1000</f>
        <v>0</v>
      </c>
      <c r="J13" s="51">
        <f ca="1">SUMIFS(OFFSET(Persistance!$K:$K,0,$A$2-Persistance!$K$1),Persistance!$B:$B,$A13,Persistance!$D:$D,J$5,Persistance!$A:$A,"Consumer")*1000</f>
        <v>0</v>
      </c>
      <c r="K13" s="51">
        <f ca="1">SUMIFS(OFFSET(Persistance!$K:$K,0,$A$2-Persistance!$K$1),Persistance!$B:$B,$A13,Persistance!$D:$D,K$5,Persistance!$A:$A,"Consumer")*1000</f>
        <v>0</v>
      </c>
      <c r="L13" s="34">
        <f t="shared" ca="1" si="2"/>
        <v>203029.18694090852</v>
      </c>
      <c r="M13" s="34"/>
      <c r="N13" s="35"/>
      <c r="O13" s="36"/>
      <c r="P13" s="36"/>
      <c r="Q13" s="36"/>
      <c r="R13" s="2"/>
      <c r="S13" s="2"/>
      <c r="T13" s="2"/>
      <c r="U13" s="2"/>
    </row>
    <row r="14" spans="1:21" x14ac:dyDescent="0.25">
      <c r="A14" t="s">
        <v>51</v>
      </c>
      <c r="B14" s="51">
        <f ca="1">SUMIFS(OFFSET(Persistance!$K:$K,0,$A$2-Persistance!$K$1),Persistance!$B:$B,$A14,Persistance!$D:$D,B$5,Persistance!$A:$A,"Consumer")*1000</f>
        <v>0</v>
      </c>
      <c r="C14" s="51">
        <f ca="1">SUMIFS(OFFSET(Persistance!$K:$K,0,$A$2-Persistance!$K$1),Persistance!$B:$B,$A14,Persistance!$D:$D,C$5,Persistance!$A:$A,"Consumer")*1000</f>
        <v>0</v>
      </c>
      <c r="D14" s="51">
        <f ca="1">SUMIFS(OFFSET(Persistance!$K:$K,0,$A$2-Persistance!$K$1),Persistance!$B:$B,$A14,Persistance!$D:$D,D$5,Persistance!$A:$A,"Consumer")*1000</f>
        <v>0</v>
      </c>
      <c r="E14" s="51">
        <f ca="1">SUMIFS(OFFSET(Persistance!$K:$K,0,$A$2-Persistance!$K$1),Persistance!$B:$B,$A14,Persistance!$D:$D,E$5,Persistance!$A:$A,"Consumer")*1000</f>
        <v>0</v>
      </c>
      <c r="F14" s="51">
        <f ca="1">SUMIFS(OFFSET(Persistance!$K:$K,0,$A$2-Persistance!$K$1),Persistance!$B:$B,$A14,Persistance!$D:$D,F$5,Persistance!$A:$A,"Consumer")*1000</f>
        <v>0</v>
      </c>
      <c r="G14" s="51">
        <f ca="1">SUMIFS(OFFSET(Persistance!$K:$K,0,$A$2-Persistance!$K$1),Persistance!$B:$B,$A14,Persistance!$D:$D,G$5,Persistance!$A:$A,"Consumer")*1000</f>
        <v>0</v>
      </c>
      <c r="H14" s="51">
        <f ca="1">SUMIFS(OFFSET(Persistance!$K:$K,0,$A$2-Persistance!$K$1),Persistance!$B:$B,$A14,Persistance!$D:$D,H$5,Persistance!$A:$A,"Consumer")*1000</f>
        <v>0</v>
      </c>
      <c r="I14" s="51">
        <f ca="1">SUMIFS(OFFSET(Persistance!$K:$K,0,$A$2-Persistance!$K$1),Persistance!$B:$B,$A14,Persistance!$D:$D,I$5,Persistance!$A:$A,"Consumer")*1000</f>
        <v>0</v>
      </c>
      <c r="J14" s="51">
        <f ca="1">SUMIFS(OFFSET(Persistance!$K:$K,0,$A$2-Persistance!$K$1),Persistance!$B:$B,$A14,Persistance!$D:$D,J$5,Persistance!$A:$A,"Consumer")*1000</f>
        <v>0</v>
      </c>
      <c r="K14" s="51">
        <f ca="1">SUMIFS(OFFSET(Persistance!$K:$K,0,$A$2-Persistance!$K$1),Persistance!$B:$B,$A14,Persistance!$D:$D,K$5,Persistance!$A:$A,"Consumer")*1000</f>
        <v>0</v>
      </c>
      <c r="L14" s="34">
        <f t="shared" ca="1" si="2"/>
        <v>0</v>
      </c>
      <c r="M14" s="34"/>
      <c r="N14" s="35"/>
      <c r="O14" s="36"/>
      <c r="P14" s="36"/>
      <c r="Q14" s="36"/>
      <c r="R14" s="2"/>
      <c r="S14" s="2"/>
      <c r="T14" s="2"/>
      <c r="U14" s="2"/>
    </row>
    <row r="15" spans="1:21" x14ac:dyDescent="0.25">
      <c r="A15" t="s">
        <v>74</v>
      </c>
      <c r="B15" s="51">
        <f ca="1">SUMIFS(OFFSET(Persistance!$K:$K,0,$A$2-Persistance!$K$1),Persistance!$B:$B,$A15,Persistance!$D:$D,B$5,Persistance!$A:$A,"Consumer")*1000</f>
        <v>0</v>
      </c>
      <c r="C15" s="51">
        <f ca="1">SUMIFS(OFFSET(Persistance!$K:$K,0,$A$2-Persistance!$K$1),Persistance!$B:$B,$A15,Persistance!$D:$D,C$5,Persistance!$A:$A,"Consumer")*1000</f>
        <v>0</v>
      </c>
      <c r="D15" s="51">
        <f ca="1">SUMIFS(OFFSET(Persistance!$K:$K,0,$A$2-Persistance!$K$1),Persistance!$B:$B,$A15,Persistance!$D:$D,D$5,Persistance!$A:$A,"Consumer")*1000</f>
        <v>19243.625376914999</v>
      </c>
      <c r="E15" s="51">
        <f ca="1">SUMIFS(OFFSET(Persistance!$K:$K,0,$A$2-Persistance!$K$1),Persistance!$B:$B,$A15,Persistance!$D:$D,E$5,Persistance!$A:$A,"Consumer")*1000</f>
        <v>0</v>
      </c>
      <c r="F15" s="51">
        <f ca="1">SUMIFS(OFFSET(Persistance!$K:$K,0,$A$2-Persistance!$K$1),Persistance!$B:$B,$A15,Persistance!$D:$D,F$5,Persistance!$A:$A,"Consumer")*1000</f>
        <v>0</v>
      </c>
      <c r="G15" s="51">
        <f ca="1">SUMIFS(OFFSET(Persistance!$K:$K,0,$A$2-Persistance!$K$1),Persistance!$B:$B,$A15,Persistance!$D:$D,G$5,Persistance!$A:$A,"Consumer")*1000</f>
        <v>0</v>
      </c>
      <c r="H15" s="51">
        <f ca="1">SUMIFS(OFFSET(Persistance!$K:$K,0,$A$2-Persistance!$K$1),Persistance!$B:$B,$A15,Persistance!$D:$D,H$5,Persistance!$A:$A,"Consumer")*1000</f>
        <v>0</v>
      </c>
      <c r="I15" s="51">
        <f ca="1">SUMIFS(OFFSET(Persistance!$K:$K,0,$A$2-Persistance!$K$1),Persistance!$B:$B,$A15,Persistance!$D:$D,I$5,Persistance!$A:$A,"Consumer")*1000</f>
        <v>0</v>
      </c>
      <c r="J15" s="51">
        <f ca="1">SUMIFS(OFFSET(Persistance!$K:$K,0,$A$2-Persistance!$K$1),Persistance!$B:$B,$A15,Persistance!$D:$D,J$5,Persistance!$A:$A,"Consumer")*1000</f>
        <v>0</v>
      </c>
      <c r="K15" s="51">
        <f ca="1">SUMIFS(OFFSET(Persistance!$K:$K,0,$A$2-Persistance!$K$1),Persistance!$B:$B,$A15,Persistance!$D:$D,K$5,Persistance!$A:$A,"Consumer")*1000</f>
        <v>0</v>
      </c>
      <c r="L15" s="34">
        <f t="shared" ca="1" si="2"/>
        <v>19243.625376914999</v>
      </c>
      <c r="M15" s="34"/>
      <c r="N15" s="35"/>
      <c r="O15" s="36"/>
      <c r="P15" s="36"/>
      <c r="Q15" s="36"/>
      <c r="R15" s="2"/>
      <c r="S15" s="2"/>
      <c r="T15" s="2"/>
      <c r="U15" s="2"/>
    </row>
    <row r="16" spans="1:21" x14ac:dyDescent="0.25">
      <c r="A16" t="s">
        <v>3</v>
      </c>
      <c r="B16" s="51">
        <f ca="1">SUMIFS(OFFSET(Persistance!$K:$K,0,$A$2-Persistance!$K$1),Persistance!$B:$B,$A16,Persistance!$D:$D,B$5,Persistance!$A:$A,"Consumer")*1000</f>
        <v>21187.08171814321</v>
      </c>
      <c r="C16" s="51">
        <f ca="1">SUMIFS(OFFSET(Persistance!$K:$K,0,$A$2-Persistance!$K$1),Persistance!$B:$B,$A16,Persistance!$D:$D,C$5,Persistance!$A:$A,"Consumer")*1000</f>
        <v>1566.1654124212519</v>
      </c>
      <c r="D16" s="51">
        <f ca="1">SUMIFS(OFFSET(Persistance!$K:$K,0,$A$2-Persistance!$K$1),Persistance!$B:$B,$A16,Persistance!$D:$D,D$5,Persistance!$A:$A,"Consumer")*1000</f>
        <v>26</v>
      </c>
      <c r="E16" s="51">
        <f ca="1">SUMIFS(OFFSET(Persistance!$K:$K,0,$A$2-Persistance!$K$1),Persistance!$B:$B,$A16,Persistance!$D:$D,E$5,Persistance!$A:$A,"Consumer")*1000</f>
        <v>31539.497859999999</v>
      </c>
      <c r="F16" s="51">
        <f ca="1">SUMIFS(OFFSET(Persistance!$K:$K,0,$A$2-Persistance!$K$1),Persistance!$B:$B,$A16,Persistance!$D:$D,F$5,Persistance!$A:$A,"Consumer")*1000</f>
        <v>0</v>
      </c>
      <c r="G16" s="51">
        <f ca="1">SUMIFS(OFFSET(Persistance!$K:$K,0,$A$2-Persistance!$K$1),Persistance!$B:$B,$A16,Persistance!$D:$D,G$5,Persistance!$A:$A,"Consumer")*1000</f>
        <v>0</v>
      </c>
      <c r="H16" s="51">
        <f ca="1">SUMIFS(OFFSET(Persistance!$K:$K,0,$A$2-Persistance!$K$1),Persistance!$B:$B,$A16,Persistance!$D:$D,H$5,Persistance!$A:$A,"Consumer")*1000</f>
        <v>0</v>
      </c>
      <c r="I16" s="51">
        <f ca="1">SUMIFS(OFFSET(Persistance!$K:$K,0,$A$2-Persistance!$K$1),Persistance!$B:$B,$A16,Persistance!$D:$D,I$5,Persistance!$A:$A,"Consumer")*1000</f>
        <v>0</v>
      </c>
      <c r="J16" s="51">
        <f ca="1">SUMIFS(OFFSET(Persistance!$K:$K,0,$A$2-Persistance!$K$1),Persistance!$B:$B,$A16,Persistance!$D:$D,J$5,Persistance!$A:$A,"Consumer")*1000</f>
        <v>0</v>
      </c>
      <c r="K16" s="51">
        <f ca="1">SUMIFS(OFFSET(Persistance!$K:$K,0,$A$2-Persistance!$K$1),Persistance!$B:$B,$A16,Persistance!$D:$D,K$5,Persistance!$A:$A,"Consumer")*1000</f>
        <v>0</v>
      </c>
      <c r="L16" s="34">
        <f t="shared" ca="1" si="2"/>
        <v>54318.744990564461</v>
      </c>
      <c r="M16" s="34"/>
      <c r="N16" s="35"/>
      <c r="O16" s="36"/>
      <c r="P16" s="36"/>
      <c r="Q16" s="36"/>
      <c r="R16" s="2"/>
      <c r="S16" s="2"/>
      <c r="T16" s="2"/>
      <c r="U16" s="2"/>
    </row>
    <row r="17" spans="1:21" x14ac:dyDescent="0.25">
      <c r="A17" t="s">
        <v>50</v>
      </c>
      <c r="B17" s="51">
        <f ca="1">SUMIFS(OFFSET(Persistance!$K:$K,0,$A$2-Persistance!$K$1),Persistance!$B:$B,$A17,Persistance!$D:$D,B$5,Persistance!$A:$A,"Consumer")*1000</f>
        <v>0</v>
      </c>
      <c r="C17" s="51">
        <f ca="1">SUMIFS(OFFSET(Persistance!$K:$K,0,$A$2-Persistance!$K$1),Persistance!$B:$B,$A17,Persistance!$D:$D,C$5,Persistance!$A:$A,"Consumer")*1000</f>
        <v>0</v>
      </c>
      <c r="D17" s="51">
        <f ca="1">SUMIFS(OFFSET(Persistance!$K:$K,0,$A$2-Persistance!$K$1),Persistance!$B:$B,$A17,Persistance!$D:$D,D$5,Persistance!$A:$A,"Consumer")*1000</f>
        <v>0</v>
      </c>
      <c r="E17" s="51">
        <f ca="1">SUMIFS(OFFSET(Persistance!$K:$K,0,$A$2-Persistance!$K$1),Persistance!$B:$B,$A17,Persistance!$D:$D,E$5,Persistance!$A:$A,"Consumer")*1000</f>
        <v>0</v>
      </c>
      <c r="F17" s="51">
        <f ca="1">SUMIFS(OFFSET(Persistance!$K:$K,0,$A$2-Persistance!$K$1),Persistance!$B:$B,$A17,Persistance!$D:$D,F$5,Persistance!$A:$A,"Consumer")*1000</f>
        <v>0</v>
      </c>
      <c r="G17" s="51">
        <f ca="1">SUMIFS(OFFSET(Persistance!$K:$K,0,$A$2-Persistance!$K$1),Persistance!$B:$B,$A17,Persistance!$D:$D,G$5,Persistance!$A:$A,"Consumer")*1000</f>
        <v>0</v>
      </c>
      <c r="H17" s="51">
        <f ca="1">SUMIFS(OFFSET(Persistance!$K:$K,0,$A$2-Persistance!$K$1),Persistance!$B:$B,$A17,Persistance!$D:$D,H$5,Persistance!$A:$A,"Consumer")*1000</f>
        <v>0</v>
      </c>
      <c r="I17" s="51">
        <f ca="1">SUMIFS(OFFSET(Persistance!$K:$K,0,$A$2-Persistance!$K$1),Persistance!$B:$B,$A17,Persistance!$D:$D,I$5,Persistance!$A:$A,"Consumer")*1000</f>
        <v>0</v>
      </c>
      <c r="J17" s="51">
        <f ca="1">SUMIFS(OFFSET(Persistance!$K:$K,0,$A$2-Persistance!$K$1),Persistance!$B:$B,$A17,Persistance!$D:$D,J$5,Persistance!$A:$A,"Consumer")*1000</f>
        <v>0</v>
      </c>
      <c r="K17" s="51">
        <f ca="1">SUMIFS(OFFSET(Persistance!$K:$K,0,$A$2-Persistance!$K$1),Persistance!$B:$B,$A17,Persistance!$D:$D,K$5,Persistance!$A:$A,"Consumer")*1000</f>
        <v>0</v>
      </c>
      <c r="L17" s="34">
        <f t="shared" ca="1" si="2"/>
        <v>0</v>
      </c>
      <c r="M17" s="34"/>
      <c r="N17" s="35"/>
      <c r="O17" s="36"/>
      <c r="P17" s="36"/>
      <c r="Q17" s="36"/>
      <c r="R17" s="2"/>
      <c r="S17" s="2"/>
      <c r="T17" s="2"/>
      <c r="U17" s="2"/>
    </row>
    <row r="18" spans="1:21" x14ac:dyDescent="0.25">
      <c r="A18" t="s">
        <v>6</v>
      </c>
      <c r="B18" s="51">
        <f ca="1">SUMIFS(OFFSET(Persistance!$K:$K,0,$A$2-Persistance!$K$1),Persistance!$B:$B,$A18,Persistance!$D:$D,B$5,Persistance!$A:$A,"Consumer")*1000</f>
        <v>0</v>
      </c>
      <c r="C18" s="51">
        <f ca="1">SUMIFS(OFFSET(Persistance!$K:$K,0,$A$2-Persistance!$K$1),Persistance!$B:$B,$A18,Persistance!$D:$D,C$5,Persistance!$A:$A,"Consumer")*1000</f>
        <v>11262.371093750002</v>
      </c>
      <c r="D18" s="51">
        <f ca="1">SUMIFS(OFFSET(Persistance!$K:$K,0,$A$2-Persistance!$K$1),Persistance!$B:$B,$A18,Persistance!$D:$D,D$5,Persistance!$A:$A,"Consumer")*1000</f>
        <v>40599.352257057006</v>
      </c>
      <c r="E18" s="51">
        <f ca="1">SUMIFS(OFFSET(Persistance!$K:$K,0,$A$2-Persistance!$K$1),Persistance!$B:$B,$A18,Persistance!$D:$D,E$5,Persistance!$A:$A,"Consumer")*1000</f>
        <v>32836.041559999998</v>
      </c>
      <c r="F18" s="51">
        <f ca="1">SUMIFS(OFFSET(Persistance!$K:$K,0,$A$2-Persistance!$K$1),Persistance!$B:$B,$A18,Persistance!$D:$D,F$5,Persistance!$A:$A,"Consumer")*1000</f>
        <v>0</v>
      </c>
      <c r="G18" s="51">
        <f ca="1">SUMIFS(OFFSET(Persistance!$K:$K,0,$A$2-Persistance!$K$1),Persistance!$B:$B,$A18,Persistance!$D:$D,G$5,Persistance!$A:$A,"Consumer")*1000</f>
        <v>0</v>
      </c>
      <c r="H18" s="51">
        <f ca="1">SUMIFS(OFFSET(Persistance!$K:$K,0,$A$2-Persistance!$K$1),Persistance!$B:$B,$A18,Persistance!$D:$D,H$5,Persistance!$A:$A,"Consumer")*1000</f>
        <v>0</v>
      </c>
      <c r="I18" s="51">
        <f ca="1">SUMIFS(OFFSET(Persistance!$K:$K,0,$A$2-Persistance!$K$1),Persistance!$B:$B,$A18,Persistance!$D:$D,I$5,Persistance!$A:$A,"Consumer")*1000</f>
        <v>0</v>
      </c>
      <c r="J18" s="51">
        <f ca="1">SUMIFS(OFFSET(Persistance!$K:$K,0,$A$2-Persistance!$K$1),Persistance!$B:$B,$A18,Persistance!$D:$D,J$5,Persistance!$A:$A,"Consumer")*1000</f>
        <v>0</v>
      </c>
      <c r="K18" s="51">
        <f ca="1">SUMIFS(OFFSET(Persistance!$K:$K,0,$A$2-Persistance!$K$1),Persistance!$B:$B,$A18,Persistance!$D:$D,K$5,Persistance!$A:$A,"Consumer")*1000</f>
        <v>0</v>
      </c>
      <c r="L18" s="34">
        <f t="shared" ca="1" si="2"/>
        <v>84697.764910807004</v>
      </c>
      <c r="M18" s="34"/>
      <c r="N18" s="35"/>
      <c r="O18" s="36"/>
      <c r="P18" s="36"/>
      <c r="Q18" s="36"/>
      <c r="R18" s="2"/>
      <c r="S18" s="2"/>
      <c r="T18" s="2"/>
      <c r="U18" s="2"/>
    </row>
    <row r="19" spans="1:21" x14ac:dyDescent="0.25">
      <c r="A19" t="s">
        <v>75</v>
      </c>
      <c r="B19" s="51">
        <f ca="1">SUMIFS(OFFSET(Persistance!$K:$K,0,$A$2-Persistance!$K$1),Persistance!$B:$B,$A19,Persistance!$D:$D,B$5,Persistance!$A:$A,"Consumer")*1000</f>
        <v>0</v>
      </c>
      <c r="C19" s="51">
        <f ca="1">SUMIFS(OFFSET(Persistance!$K:$K,0,$A$2-Persistance!$K$1),Persistance!$B:$B,$A19,Persistance!$D:$D,C$5,Persistance!$A:$A,"Consumer")*1000</f>
        <v>1856.2897101191882</v>
      </c>
      <c r="D19" s="51">
        <f ca="1">SUMIFS(OFFSET(Persistance!$K:$K,0,$A$2-Persistance!$K$1),Persistance!$B:$B,$A19,Persistance!$D:$D,D$5,Persistance!$A:$A,"Consumer")*1000</f>
        <v>47983.528767304007</v>
      </c>
      <c r="E19" s="51">
        <f ca="1">SUMIFS(OFFSET(Persistance!$K:$K,0,$A$2-Persistance!$K$1),Persistance!$B:$B,$A19,Persistance!$D:$D,E$5,Persistance!$A:$A,"Consumer")*1000</f>
        <v>0</v>
      </c>
      <c r="F19" s="51">
        <f ca="1">SUMIFS(OFFSET(Persistance!$K:$K,0,$A$2-Persistance!$K$1),Persistance!$B:$B,$A19,Persistance!$D:$D,F$5,Persistance!$A:$A,"Consumer")*1000</f>
        <v>0</v>
      </c>
      <c r="G19" s="51">
        <f ca="1">SUMIFS(OFFSET(Persistance!$K:$K,0,$A$2-Persistance!$K$1),Persistance!$B:$B,$A19,Persistance!$D:$D,G$5,Persistance!$A:$A,"Consumer")*1000</f>
        <v>0</v>
      </c>
      <c r="H19" s="51">
        <f ca="1">SUMIFS(OFFSET(Persistance!$K:$K,0,$A$2-Persistance!$K$1),Persistance!$B:$B,$A19,Persistance!$D:$D,H$5,Persistance!$A:$A,"Consumer")*1000</f>
        <v>0</v>
      </c>
      <c r="I19" s="51">
        <f ca="1">SUMIFS(OFFSET(Persistance!$K:$K,0,$A$2-Persistance!$K$1),Persistance!$B:$B,$A19,Persistance!$D:$D,I$5,Persistance!$A:$A,"Consumer")*1000</f>
        <v>0</v>
      </c>
      <c r="J19" s="51">
        <f ca="1">SUMIFS(OFFSET(Persistance!$K:$K,0,$A$2-Persistance!$K$1),Persistance!$B:$B,$A19,Persistance!$D:$D,J$5,Persistance!$A:$A,"Consumer")*1000</f>
        <v>0</v>
      </c>
      <c r="K19" s="51">
        <f ca="1">SUMIFS(OFFSET(Persistance!$K:$K,0,$A$2-Persistance!$K$1),Persistance!$B:$B,$A19,Persistance!$D:$D,K$5,Persistance!$A:$A,"Consumer")*1000</f>
        <v>0</v>
      </c>
      <c r="L19" s="34">
        <f t="shared" ca="1" si="2"/>
        <v>49839.818477423192</v>
      </c>
      <c r="M19" s="34"/>
      <c r="N19" s="35"/>
      <c r="O19" s="36"/>
      <c r="P19" s="36"/>
      <c r="Q19" s="36"/>
      <c r="R19" s="2"/>
      <c r="S19" s="2"/>
      <c r="T19" s="2"/>
      <c r="U19" s="2"/>
    </row>
    <row r="20" spans="1:21" x14ac:dyDescent="0.25">
      <c r="A20" t="s">
        <v>2</v>
      </c>
      <c r="B20" s="51">
        <f ca="1">SUMIFS(OFFSET(Persistance!$K:$K,0,$A$2-Persistance!$K$1),Persistance!$B:$B,$A20,Persistance!$D:$D,B$5,Persistance!$A:$A,"Consumer")*1000</f>
        <v>51132.664969399761</v>
      </c>
      <c r="C20" s="51">
        <f ca="1">SUMIFS(OFFSET(Persistance!$K:$K,0,$A$2-Persistance!$K$1),Persistance!$B:$B,$A20,Persistance!$D:$D,C$5,Persistance!$A:$A,"Consumer")*1000</f>
        <v>38766.567338592635</v>
      </c>
      <c r="D20" s="51">
        <f ca="1">SUMIFS(OFFSET(Persistance!$K:$K,0,$A$2-Persistance!$K$1),Persistance!$B:$B,$A20,Persistance!$D:$D,D$5,Persistance!$A:$A,"Consumer")*1000</f>
        <v>1650.0041293999998</v>
      </c>
      <c r="E20" s="51">
        <f ca="1">SUMIFS(OFFSET(Persistance!$K:$K,0,$A$2-Persistance!$K$1),Persistance!$B:$B,$A20,Persistance!$D:$D,E$5,Persistance!$A:$A,"Consumer")*1000</f>
        <v>55115.777832</v>
      </c>
      <c r="F20" s="51">
        <f ca="1">SUMIFS(OFFSET(Persistance!$K:$K,0,$A$2-Persistance!$K$1),Persistance!$B:$B,$A20,Persistance!$D:$D,F$5,Persistance!$A:$A,"Consumer")*1000</f>
        <v>0</v>
      </c>
      <c r="G20" s="51">
        <f ca="1">SUMIFS(OFFSET(Persistance!$K:$K,0,$A$2-Persistance!$K$1),Persistance!$B:$B,$A20,Persistance!$D:$D,G$5,Persistance!$A:$A,"Consumer")*1000</f>
        <v>0</v>
      </c>
      <c r="H20" s="51">
        <f ca="1">SUMIFS(OFFSET(Persistance!$K:$K,0,$A$2-Persistance!$K$1),Persistance!$B:$B,$A20,Persistance!$D:$D,H$5,Persistance!$A:$A,"Consumer")*1000</f>
        <v>0</v>
      </c>
      <c r="I20" s="51">
        <f ca="1">SUMIFS(OFFSET(Persistance!$K:$K,0,$A$2-Persistance!$K$1),Persistance!$B:$B,$A20,Persistance!$D:$D,I$5,Persistance!$A:$A,"Consumer")*1000</f>
        <v>0</v>
      </c>
      <c r="J20" s="51">
        <f ca="1">SUMIFS(OFFSET(Persistance!$K:$K,0,$A$2-Persistance!$K$1),Persistance!$B:$B,$A20,Persistance!$D:$D,J$5,Persistance!$A:$A,"Consumer")*1000</f>
        <v>0</v>
      </c>
      <c r="K20" s="51">
        <f ca="1">SUMIFS(OFFSET(Persistance!$K:$K,0,$A$2-Persistance!$K$1),Persistance!$B:$B,$A20,Persistance!$D:$D,K$5,Persistance!$A:$A,"Consumer")*1000</f>
        <v>0</v>
      </c>
      <c r="L20" s="34">
        <f t="shared" ca="1" si="2"/>
        <v>146665.01426939238</v>
      </c>
      <c r="M20" s="34"/>
      <c r="N20" s="35"/>
      <c r="O20" s="36"/>
      <c r="P20" s="36"/>
      <c r="Q20" s="36"/>
      <c r="R20" s="2"/>
      <c r="S20" s="2"/>
      <c r="T20" s="2"/>
      <c r="U20" s="2"/>
    </row>
    <row r="21" spans="1:21" x14ac:dyDescent="0.25">
      <c r="A21" t="s">
        <v>53</v>
      </c>
      <c r="B21" s="51">
        <f ca="1">SUMIFS(OFFSET(Persistance!$K:$K,0,$A$2-Persistance!$K$1),Persistance!$B:$B,$A21,Persistance!$D:$D,B$5,Persistance!$A:$A,"Consumer")*1000</f>
        <v>0</v>
      </c>
      <c r="C21" s="51">
        <f ca="1">SUMIFS(OFFSET(Persistance!$K:$K,0,$A$2-Persistance!$K$1),Persistance!$B:$B,$A21,Persistance!$D:$D,C$5,Persistance!$A:$A,"Consumer")*1000</f>
        <v>0</v>
      </c>
      <c r="D21" s="51">
        <f ca="1">SUMIFS(OFFSET(Persistance!$K:$K,0,$A$2-Persistance!$K$1),Persistance!$B:$B,$A21,Persistance!$D:$D,D$5,Persistance!$A:$A,"Consumer")*1000</f>
        <v>0</v>
      </c>
      <c r="E21" s="51">
        <f ca="1">SUMIFS(OFFSET(Persistance!$K:$K,0,$A$2-Persistance!$K$1),Persistance!$B:$B,$A21,Persistance!$D:$D,E$5,Persistance!$A:$A,"Consumer")*1000</f>
        <v>0</v>
      </c>
      <c r="F21" s="51">
        <f ca="1">SUMIFS(OFFSET(Persistance!$K:$K,0,$A$2-Persistance!$K$1),Persistance!$B:$B,$A21,Persistance!$D:$D,F$5,Persistance!$A:$A,"Consumer")*1000</f>
        <v>0</v>
      </c>
      <c r="G21" s="51">
        <f ca="1">SUMIFS(OFFSET(Persistance!$K:$K,0,$A$2-Persistance!$K$1),Persistance!$B:$B,$A21,Persistance!$D:$D,G$5,Persistance!$A:$A,"Consumer")*1000</f>
        <v>0</v>
      </c>
      <c r="H21" s="51">
        <f ca="1">SUMIFS(OFFSET(Persistance!$K:$K,0,$A$2-Persistance!$K$1),Persistance!$B:$B,$A21,Persistance!$D:$D,H$5,Persistance!$A:$A,"Consumer")*1000</f>
        <v>0</v>
      </c>
      <c r="I21" s="51">
        <f ca="1">SUMIFS(OFFSET(Persistance!$K:$K,0,$A$2-Persistance!$K$1),Persistance!$B:$B,$A21,Persistance!$D:$D,I$5,Persistance!$A:$A,"Consumer")*1000</f>
        <v>0</v>
      </c>
      <c r="J21" s="51">
        <f ca="1">SUMIFS(OFFSET(Persistance!$K:$K,0,$A$2-Persistance!$K$1),Persistance!$B:$B,$A21,Persistance!$D:$D,J$5,Persistance!$A:$A,"Consumer")*1000</f>
        <v>0</v>
      </c>
      <c r="K21" s="51">
        <f ca="1">SUMIFS(OFFSET(Persistance!$K:$K,0,$A$2-Persistance!$K$1),Persistance!$B:$B,$A21,Persistance!$D:$D,K$5,Persistance!$A:$A,"Consumer")*1000</f>
        <v>0</v>
      </c>
      <c r="L21" s="34">
        <f t="shared" ca="1" si="2"/>
        <v>0</v>
      </c>
      <c r="M21" s="34"/>
      <c r="N21" s="35"/>
      <c r="O21" s="36"/>
      <c r="P21" s="36"/>
      <c r="Q21" s="36"/>
      <c r="R21" s="2"/>
      <c r="S21" s="2"/>
      <c r="T21" s="2"/>
      <c r="U21" s="2"/>
    </row>
    <row r="22" spans="1:21" x14ac:dyDescent="0.25">
      <c r="A22" t="s">
        <v>62</v>
      </c>
      <c r="B22" s="51">
        <f ca="1">SUMIFS(OFFSET(Persistance!$K:$K,0,$A$2-Persistance!$K$1),Persistance!$B:$B,$A22,Persistance!$D:$D,B$5,Persistance!$A:$A,"Consumer")*1000</f>
        <v>0</v>
      </c>
      <c r="C22" s="51">
        <f ca="1">SUMIFS(OFFSET(Persistance!$K:$K,0,$A$2-Persistance!$K$1),Persistance!$B:$B,$A22,Persistance!$D:$D,C$5,Persistance!$A:$A,"Consumer")*1000</f>
        <v>0</v>
      </c>
      <c r="D22" s="51">
        <f ca="1">SUMIFS(OFFSET(Persistance!$K:$K,0,$A$2-Persistance!$K$1),Persistance!$B:$B,$A22,Persistance!$D:$D,D$5,Persistance!$A:$A,"Consumer")*1000</f>
        <v>0</v>
      </c>
      <c r="E22" s="51">
        <f ca="1">SUMIFS(OFFSET(Persistance!$K:$K,0,$A$2-Persistance!$K$1),Persistance!$B:$B,$A22,Persistance!$D:$D,E$5,Persistance!$A:$A,"Consumer")*1000</f>
        <v>0</v>
      </c>
      <c r="F22" s="51">
        <f ca="1">SUMIFS(OFFSET(Persistance!$K:$K,0,$A$2-Persistance!$K$1),Persistance!$B:$B,$A22,Persistance!$D:$D,F$5,Persistance!$A:$A,"Consumer")*1000</f>
        <v>0</v>
      </c>
      <c r="G22" s="51">
        <f ca="1">SUMIFS(OFFSET(Persistance!$K:$K,0,$A$2-Persistance!$K$1),Persistance!$B:$B,$A22,Persistance!$D:$D,G$5,Persistance!$A:$A,"Consumer")*1000</f>
        <v>0</v>
      </c>
      <c r="H22" s="51">
        <f ca="1">SUMIFS(OFFSET(Persistance!$K:$K,0,$A$2-Persistance!$K$1),Persistance!$B:$B,$A22,Persistance!$D:$D,H$5,Persistance!$A:$A,"Consumer")*1000</f>
        <v>0</v>
      </c>
      <c r="I22" s="51">
        <f ca="1">SUMIFS(OFFSET(Persistance!$K:$K,0,$A$2-Persistance!$K$1),Persistance!$B:$B,$A22,Persistance!$D:$D,I$5,Persistance!$A:$A,"Consumer")*1000</f>
        <v>0</v>
      </c>
      <c r="J22" s="51">
        <f ca="1">SUMIFS(OFFSET(Persistance!$K:$K,0,$A$2-Persistance!$K$1),Persistance!$B:$B,$A22,Persistance!$D:$D,J$5,Persistance!$A:$A,"Consumer")*1000</f>
        <v>0</v>
      </c>
      <c r="K22" s="51">
        <f ca="1">SUMIFS(OFFSET(Persistance!$K:$K,0,$A$2-Persistance!$K$1),Persistance!$B:$B,$A22,Persistance!$D:$D,K$5,Persistance!$A:$A,"Consumer")*1000</f>
        <v>0</v>
      </c>
      <c r="L22" s="34">
        <f t="shared" ca="1" si="2"/>
        <v>0</v>
      </c>
      <c r="M22" s="34"/>
      <c r="N22" s="35"/>
      <c r="O22" s="36"/>
      <c r="P22" s="36"/>
      <c r="Q22" s="36"/>
      <c r="R22" s="2"/>
      <c r="S22" s="2"/>
      <c r="T22" s="2"/>
      <c r="U22" s="2"/>
    </row>
    <row r="23" spans="1:21" x14ac:dyDescent="0.25">
      <c r="A23" t="s">
        <v>70</v>
      </c>
      <c r="B23" s="51">
        <f ca="1">SUMIFS(OFFSET(Persistance!$K:$K,0,$A$2-Persistance!$K$1),Persistance!$B:$B,$A23,Persistance!$D:$D,B$5,Persistance!$A:$A,"Consumer")*1000</f>
        <v>0</v>
      </c>
      <c r="C23" s="51">
        <f ca="1">SUMIFS(OFFSET(Persistance!$K:$K,0,$A$2-Persistance!$K$1),Persistance!$B:$B,$A23,Persistance!$D:$D,C$5,Persistance!$A:$A,"Consumer")*1000</f>
        <v>0</v>
      </c>
      <c r="D23" s="51">
        <f ca="1">SUMIFS(OFFSET(Persistance!$K:$K,0,$A$2-Persistance!$K$1),Persistance!$B:$B,$A23,Persistance!$D:$D,D$5,Persistance!$A:$A,"Consumer")*1000</f>
        <v>0</v>
      </c>
      <c r="E23" s="51">
        <f ca="1">SUMIFS(OFFSET(Persistance!$K:$K,0,$A$2-Persistance!$K$1),Persistance!$B:$B,$A23,Persistance!$D:$D,E$5,Persistance!$A:$A,"Consumer")*1000</f>
        <v>0</v>
      </c>
      <c r="F23" s="51">
        <f ca="1">SUMIFS(OFFSET(Persistance!$K:$K,0,$A$2-Persistance!$K$1),Persistance!$B:$B,$A23,Persistance!$D:$D,F$5,Persistance!$A:$A,"Consumer")*1000</f>
        <v>0</v>
      </c>
      <c r="G23" s="51">
        <f ca="1">SUMIFS(OFFSET(Persistance!$K:$K,0,$A$2-Persistance!$K$1),Persistance!$B:$B,$A23,Persistance!$D:$D,G$5,Persistance!$A:$A,"Consumer")*1000</f>
        <v>0</v>
      </c>
      <c r="H23" s="51">
        <f ca="1">SUMIFS(OFFSET(Persistance!$K:$K,0,$A$2-Persistance!$K$1),Persistance!$B:$B,$A23,Persistance!$D:$D,H$5,Persistance!$A:$A,"Consumer")*1000</f>
        <v>0</v>
      </c>
      <c r="I23" s="51">
        <f ca="1">SUMIFS(OFFSET(Persistance!$K:$K,0,$A$2-Persistance!$K$1),Persistance!$B:$B,$A23,Persistance!$D:$D,I$5,Persistance!$A:$A,"Consumer")*1000</f>
        <v>0</v>
      </c>
      <c r="J23" s="51">
        <f ca="1">SUMIFS(OFFSET(Persistance!$K:$K,0,$A$2-Persistance!$K$1),Persistance!$B:$B,$A23,Persistance!$D:$D,J$5,Persistance!$A:$A,"Consumer")*1000</f>
        <v>0</v>
      </c>
      <c r="K23" s="51">
        <f ca="1">SUMIFS(OFFSET(Persistance!$K:$K,0,$A$2-Persistance!$K$1),Persistance!$B:$B,$A23,Persistance!$D:$D,K$5,Persistance!$A:$A,"Consumer")*1000</f>
        <v>0</v>
      </c>
      <c r="L23" s="34">
        <f t="shared" ca="1" si="2"/>
        <v>0</v>
      </c>
      <c r="M23" s="34"/>
      <c r="N23" s="35"/>
      <c r="O23" s="36"/>
      <c r="P23" s="36"/>
      <c r="Q23" s="36"/>
      <c r="R23" s="2"/>
      <c r="S23" s="2"/>
      <c r="T23" s="2"/>
      <c r="U23" s="2"/>
    </row>
    <row r="24" spans="1:21" x14ac:dyDescent="0.25">
      <c r="A24" t="s">
        <v>71</v>
      </c>
      <c r="B24" s="51">
        <f ca="1">SUMIFS(OFFSET(Persistance!$K:$K,0,$A$2-Persistance!$K$1),Persistance!$B:$B,$A24,Persistance!$D:$D,B$5,Persistance!$A:$A,"Consumer")*1000</f>
        <v>0</v>
      </c>
      <c r="C24" s="51">
        <f ca="1">SUMIFS(OFFSET(Persistance!$K:$K,0,$A$2-Persistance!$K$1),Persistance!$B:$B,$A24,Persistance!$D:$D,C$5,Persistance!$A:$A,"Consumer")*1000</f>
        <v>0</v>
      </c>
      <c r="D24" s="51">
        <f ca="1">SUMIFS(OFFSET(Persistance!$K:$K,0,$A$2-Persistance!$K$1),Persistance!$B:$B,$A24,Persistance!$D:$D,D$5,Persistance!$A:$A,"Consumer")*1000</f>
        <v>0</v>
      </c>
      <c r="E24" s="51">
        <f ca="1">SUMIFS(OFFSET(Persistance!$K:$K,0,$A$2-Persistance!$K$1),Persistance!$B:$B,$A24,Persistance!$D:$D,E$5,Persistance!$A:$A,"Consumer")*1000</f>
        <v>0</v>
      </c>
      <c r="F24" s="51">
        <f ca="1">SUMIFS(OFFSET(Persistance!$K:$K,0,$A$2-Persistance!$K$1),Persistance!$B:$B,$A24,Persistance!$D:$D,F$5,Persistance!$A:$A,"Consumer")*1000</f>
        <v>0</v>
      </c>
      <c r="G24" s="51">
        <f ca="1">SUMIFS(OFFSET(Persistance!$K:$K,0,$A$2-Persistance!$K$1),Persistance!$B:$B,$A24,Persistance!$D:$D,G$5,Persistance!$A:$A,"Consumer")*1000</f>
        <v>0</v>
      </c>
      <c r="H24" s="51">
        <f ca="1">SUMIFS(OFFSET(Persistance!$K:$K,0,$A$2-Persistance!$K$1),Persistance!$B:$B,$A24,Persistance!$D:$D,H$5,Persistance!$A:$A,"Consumer")*1000</f>
        <v>0</v>
      </c>
      <c r="I24" s="51">
        <f ca="1">SUMIFS(OFFSET(Persistance!$K:$K,0,$A$2-Persistance!$K$1),Persistance!$B:$B,$A24,Persistance!$D:$D,I$5,Persistance!$A:$A,"Consumer")*1000</f>
        <v>0</v>
      </c>
      <c r="J24" s="51">
        <f ca="1">SUMIFS(OFFSET(Persistance!$K:$K,0,$A$2-Persistance!$K$1),Persistance!$B:$B,$A24,Persistance!$D:$D,J$5,Persistance!$A:$A,"Consumer")*1000</f>
        <v>0</v>
      </c>
      <c r="K24" s="51">
        <f ca="1">SUMIFS(OFFSET(Persistance!$K:$K,0,$A$2-Persistance!$K$1),Persistance!$B:$B,$A24,Persistance!$D:$D,K$5,Persistance!$A:$A,"Consumer")*1000</f>
        <v>0</v>
      </c>
      <c r="L24" s="34">
        <f t="shared" ca="1" si="2"/>
        <v>0</v>
      </c>
      <c r="M24" s="34"/>
      <c r="N24" s="35"/>
      <c r="O24" s="36"/>
      <c r="P24" s="36"/>
      <c r="Q24" s="36"/>
      <c r="R24" s="2"/>
      <c r="S24" s="2"/>
      <c r="T24" s="2"/>
      <c r="U24" s="2"/>
    </row>
    <row r="25" spans="1:21" x14ac:dyDescent="0.25">
      <c r="A25" t="s">
        <v>39</v>
      </c>
      <c r="B25" s="51">
        <f ca="1">SUMIFS(OFFSET(Persistance!$K:$K,0,$A$2-Persistance!$K$1),Persistance!$B:$B,$A25,Persistance!$D:$D,B$5,Persistance!$A:$A,"Consumer")*1000</f>
        <v>0</v>
      </c>
      <c r="C25" s="51">
        <f ca="1">SUMIFS(OFFSET(Persistance!$K:$K,0,$A$2-Persistance!$K$1),Persistance!$B:$B,$A25,Persistance!$D:$D,C$5,Persistance!$A:$A,"Consumer")*1000</f>
        <v>0</v>
      </c>
      <c r="D25" s="51">
        <f ca="1">SUMIFS(OFFSET(Persistance!$K:$K,0,$A$2-Persistance!$K$1),Persistance!$B:$B,$A25,Persistance!$D:$D,D$5,Persistance!$A:$A,"Consumer")*1000</f>
        <v>0</v>
      </c>
      <c r="E25" s="51">
        <f ca="1">SUMIFS(OFFSET(Persistance!$K:$K,0,$A$2-Persistance!$K$1),Persistance!$B:$B,$A25,Persistance!$D:$D,E$5,Persistance!$A:$A,"Consumer")*1000</f>
        <v>0</v>
      </c>
      <c r="F25" s="51">
        <f ca="1">SUMIFS(OFFSET(Persistance!$K:$K,0,$A$2-Persistance!$K$1),Persistance!$B:$B,$A25,Persistance!$D:$D,F$5,Persistance!$A:$A,"Consumer")*1000</f>
        <v>0</v>
      </c>
      <c r="G25" s="51">
        <f ca="1">SUMIFS(OFFSET(Persistance!$K:$K,0,$A$2-Persistance!$K$1),Persistance!$B:$B,$A25,Persistance!$D:$D,G$5,Persistance!$A:$A,"Consumer")*1000</f>
        <v>0</v>
      </c>
      <c r="H25" s="51">
        <f ca="1">SUMIFS(OFFSET(Persistance!$K:$K,0,$A$2-Persistance!$K$1),Persistance!$B:$B,$A25,Persistance!$D:$D,H$5,Persistance!$A:$A,"Consumer")*1000</f>
        <v>0</v>
      </c>
      <c r="I25" s="51">
        <f ca="1">SUMIFS(OFFSET(Persistance!$K:$K,0,$A$2-Persistance!$K$1),Persistance!$B:$B,$A25,Persistance!$D:$D,I$5,Persistance!$A:$A,"Consumer")*1000</f>
        <v>0</v>
      </c>
      <c r="J25" s="51">
        <f ca="1">SUMIFS(OFFSET(Persistance!$K:$K,0,$A$2-Persistance!$K$1),Persistance!$B:$B,$A25,Persistance!$D:$D,J$5,Persistance!$A:$A,"Consumer")*1000</f>
        <v>0</v>
      </c>
      <c r="K25" s="51">
        <f ca="1">SUMIFS(OFFSET(Persistance!$K:$K,0,$A$2-Persistance!$K$1),Persistance!$B:$B,$A25,Persistance!$D:$D,K$5,Persistance!$A:$A,"Consumer")*1000</f>
        <v>0</v>
      </c>
      <c r="L25" s="34">
        <f t="shared" ca="1" si="2"/>
        <v>0</v>
      </c>
      <c r="M25" s="34"/>
      <c r="N25" s="35"/>
      <c r="O25" s="36"/>
      <c r="P25" s="36"/>
      <c r="Q25" s="36"/>
      <c r="R25" s="2"/>
      <c r="S25" s="2"/>
      <c r="T25" s="2"/>
      <c r="U25" s="2"/>
    </row>
    <row r="26" spans="1:21" x14ac:dyDescent="0.25">
      <c r="A26" t="s">
        <v>54</v>
      </c>
      <c r="B26" s="51">
        <f ca="1">SUMIFS(OFFSET(Persistance!$K:$K,0,$A$2-Persistance!$K$1),Persistance!$B:$B,$A26,Persistance!$D:$D,B$5,Persistance!$A:$A,"Consumer")*1000</f>
        <v>0</v>
      </c>
      <c r="C26" s="51">
        <f ca="1">SUMIFS(OFFSET(Persistance!$K:$K,0,$A$2-Persistance!$K$1),Persistance!$B:$B,$A26,Persistance!$D:$D,C$5,Persistance!$A:$A,"Consumer")*1000</f>
        <v>0</v>
      </c>
      <c r="D26" s="51">
        <f ca="1">SUMIFS(OFFSET(Persistance!$K:$K,0,$A$2-Persistance!$K$1),Persistance!$B:$B,$A26,Persistance!$D:$D,D$5,Persistance!$A:$A,"Consumer")*1000</f>
        <v>0</v>
      </c>
      <c r="E26" s="51">
        <f ca="1">SUMIFS(OFFSET(Persistance!$K:$K,0,$A$2-Persistance!$K$1),Persistance!$B:$B,$A26,Persistance!$D:$D,E$5,Persistance!$A:$A,"Consumer")*1000</f>
        <v>0</v>
      </c>
      <c r="F26" s="51">
        <f ca="1">SUMIFS(OFFSET(Persistance!$K:$K,0,$A$2-Persistance!$K$1),Persistance!$B:$B,$A26,Persistance!$D:$D,F$5,Persistance!$A:$A,"Consumer")*1000</f>
        <v>0</v>
      </c>
      <c r="G26" s="51">
        <f ca="1">SUMIFS(OFFSET(Persistance!$K:$K,0,$A$2-Persistance!$K$1),Persistance!$B:$B,$A26,Persistance!$D:$D,G$5,Persistance!$A:$A,"Consumer")*1000</f>
        <v>0</v>
      </c>
      <c r="H26" s="51">
        <f ca="1">SUMIFS(OFFSET(Persistance!$K:$K,0,$A$2-Persistance!$K$1),Persistance!$B:$B,$A26,Persistance!$D:$D,H$5,Persistance!$A:$A,"Consumer")*1000</f>
        <v>0</v>
      </c>
      <c r="I26" s="51">
        <f ca="1">SUMIFS(OFFSET(Persistance!$K:$K,0,$A$2-Persistance!$K$1),Persistance!$B:$B,$A26,Persistance!$D:$D,I$5,Persistance!$A:$A,"Consumer")*1000</f>
        <v>0</v>
      </c>
      <c r="J26" s="51">
        <f ca="1">SUMIFS(OFFSET(Persistance!$K:$K,0,$A$2-Persistance!$K$1),Persistance!$B:$B,$A26,Persistance!$D:$D,J$5,Persistance!$A:$A,"Consumer")*1000</f>
        <v>0</v>
      </c>
      <c r="K26" s="51">
        <f ca="1">SUMIFS(OFFSET(Persistance!$K:$K,0,$A$2-Persistance!$K$1),Persistance!$B:$B,$A26,Persistance!$D:$D,K$5,Persistance!$A:$A,"Consumer")*1000</f>
        <v>0</v>
      </c>
      <c r="L26" s="34">
        <f t="shared" ca="1" si="2"/>
        <v>0</v>
      </c>
      <c r="M26" s="34"/>
      <c r="N26" s="35"/>
      <c r="O26" s="36"/>
      <c r="P26" s="36"/>
      <c r="Q26" s="36"/>
      <c r="R26" s="2"/>
      <c r="S26" s="2"/>
      <c r="T26" s="2"/>
      <c r="U26" s="2"/>
    </row>
    <row r="27" spans="1:21" x14ac:dyDescent="0.25">
      <c r="A27" t="s">
        <v>38</v>
      </c>
      <c r="B27" s="51">
        <f ca="1">SUMIFS(OFFSET(Persistance!$K:$K,0,$A$2-Persistance!$K$1),Persistance!$B:$B,$A27,Persistance!$D:$D,B$5,Persistance!$A:$A,"Consumer")*1000</f>
        <v>0</v>
      </c>
      <c r="C27" s="51">
        <f ca="1">SUMIFS(OFFSET(Persistance!$K:$K,0,$A$2-Persistance!$K$1),Persistance!$B:$B,$A27,Persistance!$D:$D,C$5,Persistance!$A:$A,"Consumer")*1000</f>
        <v>0</v>
      </c>
      <c r="D27" s="51">
        <f ca="1">SUMIFS(OFFSET(Persistance!$K:$K,0,$A$2-Persistance!$K$1),Persistance!$B:$B,$A27,Persistance!$D:$D,D$5,Persistance!$A:$A,"Consumer")*1000</f>
        <v>0</v>
      </c>
      <c r="E27" s="51">
        <f ca="1">SUMIFS(OFFSET(Persistance!$K:$K,0,$A$2-Persistance!$K$1),Persistance!$B:$B,$A27,Persistance!$D:$D,E$5,Persistance!$A:$A,"Consumer")*1000</f>
        <v>0</v>
      </c>
      <c r="F27" s="51">
        <f ca="1">SUMIFS(OFFSET(Persistance!$K:$K,0,$A$2-Persistance!$K$1),Persistance!$B:$B,$A27,Persistance!$D:$D,F$5,Persistance!$A:$A,"Consumer")*1000</f>
        <v>0</v>
      </c>
      <c r="G27" s="51">
        <f ca="1">SUMIFS(OFFSET(Persistance!$K:$K,0,$A$2-Persistance!$K$1),Persistance!$B:$B,$A27,Persistance!$D:$D,G$5,Persistance!$A:$A,"Consumer")*1000</f>
        <v>0</v>
      </c>
      <c r="H27" s="51">
        <f ca="1">SUMIFS(OFFSET(Persistance!$K:$K,0,$A$2-Persistance!$K$1),Persistance!$B:$B,$A27,Persistance!$D:$D,H$5,Persistance!$A:$A,"Consumer")*1000</f>
        <v>0</v>
      </c>
      <c r="I27" s="51">
        <f ca="1">SUMIFS(OFFSET(Persistance!$K:$K,0,$A$2-Persistance!$K$1),Persistance!$B:$B,$A27,Persistance!$D:$D,I$5,Persistance!$A:$A,"Consumer")*1000</f>
        <v>0</v>
      </c>
      <c r="J27" s="51">
        <f ca="1">SUMIFS(OFFSET(Persistance!$K:$K,0,$A$2-Persistance!$K$1),Persistance!$B:$B,$A27,Persistance!$D:$D,J$5,Persistance!$A:$A,"Consumer")*1000</f>
        <v>0</v>
      </c>
      <c r="K27" s="51">
        <f ca="1">SUMIFS(OFFSET(Persistance!$K:$K,0,$A$2-Persistance!$K$1),Persistance!$B:$B,$A27,Persistance!$D:$D,K$5,Persistance!$A:$A,"Consumer")*1000</f>
        <v>0</v>
      </c>
      <c r="L27" s="34">
        <f t="shared" ca="1" si="2"/>
        <v>0</v>
      </c>
      <c r="M27" s="34"/>
      <c r="N27" s="35"/>
      <c r="O27" s="36"/>
      <c r="P27" s="36"/>
      <c r="Q27" s="36"/>
      <c r="R27" s="2"/>
      <c r="S27" s="2"/>
      <c r="T27" s="2"/>
      <c r="U27" s="2"/>
    </row>
    <row r="28" spans="1:21" x14ac:dyDescent="0.25">
      <c r="A28" t="s">
        <v>64</v>
      </c>
      <c r="B28" s="51">
        <f ca="1">SUMIFS(OFFSET(Persistance!$K:$K,0,$A$2-Persistance!$K$1),Persistance!$B:$B,$A28,Persistance!$D:$D,B$5,Persistance!$A:$A,"Consumer")*1000</f>
        <v>0</v>
      </c>
      <c r="C28" s="51">
        <f ca="1">SUMIFS(OFFSET(Persistance!$K:$K,0,$A$2-Persistance!$K$1),Persistance!$B:$B,$A28,Persistance!$D:$D,C$5,Persistance!$A:$A,"Consumer")*1000</f>
        <v>0</v>
      </c>
      <c r="D28" s="51">
        <f ca="1">SUMIFS(OFFSET(Persistance!$K:$K,0,$A$2-Persistance!$K$1),Persistance!$B:$B,$A28,Persistance!$D:$D,D$5,Persistance!$A:$A,"Consumer")*1000</f>
        <v>0</v>
      </c>
      <c r="E28" s="51">
        <f ca="1">SUMIFS(OFFSET(Persistance!$K:$K,0,$A$2-Persistance!$K$1),Persistance!$B:$B,$A28,Persistance!$D:$D,E$5,Persistance!$A:$A,"Consumer")*1000</f>
        <v>0</v>
      </c>
      <c r="F28" s="51">
        <f ca="1">SUMIFS(OFFSET(Persistance!$K:$K,0,$A$2-Persistance!$K$1),Persistance!$B:$B,$A28,Persistance!$D:$D,F$5,Persistance!$A:$A,"Consumer")*1000</f>
        <v>0</v>
      </c>
      <c r="G28" s="51">
        <f ca="1">SUMIFS(OFFSET(Persistance!$K:$K,0,$A$2-Persistance!$K$1),Persistance!$B:$B,$A28,Persistance!$D:$D,G$5,Persistance!$A:$A,"Consumer")*1000</f>
        <v>0</v>
      </c>
      <c r="H28" s="51">
        <f ca="1">SUMIFS(OFFSET(Persistance!$K:$K,0,$A$2-Persistance!$K$1),Persistance!$B:$B,$A28,Persistance!$D:$D,H$5,Persistance!$A:$A,"Consumer")*1000</f>
        <v>0</v>
      </c>
      <c r="I28" s="51">
        <f ca="1">SUMIFS(OFFSET(Persistance!$K:$K,0,$A$2-Persistance!$K$1),Persistance!$B:$B,$A28,Persistance!$D:$D,I$5,Persistance!$A:$A,"Consumer")*1000</f>
        <v>0</v>
      </c>
      <c r="J28" s="51">
        <f ca="1">SUMIFS(OFFSET(Persistance!$K:$K,0,$A$2-Persistance!$K$1),Persistance!$B:$B,$A28,Persistance!$D:$D,J$5,Persistance!$A:$A,"Consumer")*1000</f>
        <v>0</v>
      </c>
      <c r="K28" s="51">
        <f ca="1">SUMIFS(OFFSET(Persistance!$K:$K,0,$A$2-Persistance!$K$1),Persistance!$B:$B,$A28,Persistance!$D:$D,K$5,Persistance!$A:$A,"Consumer")*1000</f>
        <v>0</v>
      </c>
      <c r="L28" s="34">
        <f t="shared" ca="1" si="2"/>
        <v>0</v>
      </c>
      <c r="M28" s="34"/>
      <c r="N28" s="35"/>
      <c r="O28" s="36"/>
      <c r="P28" s="36"/>
      <c r="Q28" s="36"/>
      <c r="R28" s="2"/>
      <c r="S28" s="28" t="s">
        <v>48</v>
      </c>
      <c r="T28" s="28" t="s">
        <v>17</v>
      </c>
      <c r="U28" s="2" t="s">
        <v>49</v>
      </c>
    </row>
    <row r="29" spans="1:21" x14ac:dyDescent="0.25"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6"/>
      <c r="P29" s="36"/>
      <c r="Q29" s="36"/>
      <c r="R29" s="2"/>
      <c r="S29" s="29">
        <f ca="1">$A$2</f>
        <v>2014</v>
      </c>
      <c r="T29" s="50">
        <f ca="1">AVERAGEIFS(Rates!E:E,Rates!F:F,'2014'!S29,Rates!G:G,"Consumer")</f>
        <v>1.4800000000000001E-2</v>
      </c>
      <c r="U29" s="30">
        <f ca="1">AVERAGEIFS(Rates!B:B,Rates!F:F,'2014'!S29,Rates!G:G,"Consumer")</f>
        <v>41760</v>
      </c>
    </row>
    <row r="30" spans="1:21" x14ac:dyDescent="0.25">
      <c r="A30" t="s">
        <v>9</v>
      </c>
      <c r="B30" s="64">
        <f ca="1">SUM(B8:B29)</f>
        <v>151270.73813081358</v>
      </c>
      <c r="C30" s="64">
        <f ca="1">SUM(C8:C29)</f>
        <v>130336.28642700925</v>
      </c>
      <c r="D30" s="64">
        <f ca="1">SUM(D8:D29)</f>
        <v>148026.81797218477</v>
      </c>
      <c r="E30" s="64">
        <f t="shared" ref="E30:K30" ca="1" si="3">SUM(E8:E29)</f>
        <v>295239.10322738381</v>
      </c>
      <c r="F30" s="64">
        <f t="shared" ca="1" si="3"/>
        <v>0</v>
      </c>
      <c r="G30" s="64">
        <f t="shared" ca="1" si="3"/>
        <v>0</v>
      </c>
      <c r="H30" s="64">
        <f t="shared" ca="1" si="3"/>
        <v>0</v>
      </c>
      <c r="I30" s="64">
        <f t="shared" ca="1" si="3"/>
        <v>0</v>
      </c>
      <c r="J30" s="64">
        <f t="shared" ca="1" si="3"/>
        <v>0</v>
      </c>
      <c r="K30" s="64">
        <f t="shared" ca="1" si="3"/>
        <v>0</v>
      </c>
      <c r="L30" s="64">
        <f ca="1">SUM(L8:L29)</f>
        <v>724872.94575739128</v>
      </c>
      <c r="M30" s="64">
        <f>Summary!$H$6</f>
        <v>522335</v>
      </c>
      <c r="N30" s="64">
        <f ca="1">(((MONTH(U29)-1)/12)*T30)+(((12-(MONTH(U29)-1))/12)*T29)</f>
        <v>1.4733333333333333E-2</v>
      </c>
      <c r="O30" s="64">
        <f ca="1">ROUND(L30*N30,2)</f>
        <v>10679.79</v>
      </c>
      <c r="P30" s="64">
        <f ca="1">ROUND(M30*N30,2)</f>
        <v>7695.74</v>
      </c>
      <c r="Q30" s="64">
        <f ca="1">+O30-P30</f>
        <v>2984.0500000000011</v>
      </c>
      <c r="R30" s="2"/>
      <c r="S30" s="29">
        <f ca="1">S29-1</f>
        <v>2013</v>
      </c>
      <c r="T30" s="50">
        <f ca="1">AVERAGEIFS(Rates!E:E,Rates!F:F,'2014'!S30,Rates!G:G,"Consumer")</f>
        <v>1.46E-2</v>
      </c>
      <c r="U30" s="2"/>
    </row>
    <row r="31" spans="1:21" x14ac:dyDescent="0.25">
      <c r="B31" s="29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6"/>
      <c r="P31" s="36"/>
      <c r="Q31" s="36"/>
      <c r="R31" s="2"/>
      <c r="S31" s="2"/>
      <c r="T31" s="2"/>
      <c r="U31" s="31"/>
    </row>
    <row r="32" spans="1:21" x14ac:dyDescent="0.25">
      <c r="A32" s="23" t="s">
        <v>44</v>
      </c>
      <c r="B32" s="51">
        <f ca="1">SUMIFS(OFFSET(Persistance!$K:$K,0,$A$2-Persistance!$K$1),Persistance!$B:$B,$A32,Persistance!$D:$D,B$5,Persistance!$A:$A,"Business")*1000</f>
        <v>0</v>
      </c>
      <c r="C32" s="51">
        <f ca="1">SUMIFS(OFFSET(Persistance!$K:$K,0,$A$2-Persistance!$K$1),Persistance!$B:$B,$A32,Persistance!$D:$D,C$5,Persistance!$A:$A,"Business")*1000</f>
        <v>0</v>
      </c>
      <c r="D32" s="51">
        <f ca="1">SUMIFS(OFFSET(Persistance!$K:$K,0,$A$2-Persistance!$K$1),Persistance!$B:$B,$A32,Persistance!$D:$D,D$5,Persistance!$A:$A,"Business")*1000</f>
        <v>0</v>
      </c>
      <c r="E32" s="51">
        <f ca="1">SUMIFS(OFFSET(Persistance!$K:$K,0,$A$2-Persistance!$K$1),Persistance!$B:$B,$A32,Persistance!$D:$D,E$5,Persistance!$A:$A,"Business")*1000</f>
        <v>0</v>
      </c>
      <c r="F32" s="51">
        <f ca="1">SUMIFS(OFFSET(Persistance!$K:$K,0,$A$2-Persistance!$K$1),Persistance!$B:$B,$A32,Persistance!$D:$D,F$5,Persistance!$A:$A,"Business")*1000</f>
        <v>0</v>
      </c>
      <c r="G32" s="51">
        <f ca="1">SUMIFS(OFFSET(Persistance!$K:$K,0,$A$2-Persistance!$K$1),Persistance!$B:$B,$A32,Persistance!$D:$D,G$5,Persistance!$A:$A,"Business")*1000</f>
        <v>0</v>
      </c>
      <c r="H32" s="51">
        <f ca="1">SUMIFS(OFFSET(Persistance!$K:$K,0,$A$2-Persistance!$K$1),Persistance!$B:$B,$A32,Persistance!$D:$D,H$5,Persistance!$A:$A,"Business")*1000</f>
        <v>0</v>
      </c>
      <c r="I32" s="51">
        <f ca="1">SUMIFS(OFFSET(Persistance!$K:$K,0,$A$2-Persistance!$K$1),Persistance!$B:$B,$A32,Persistance!$D:$D,I$5,Persistance!$A:$A,"Business")*1000</f>
        <v>0</v>
      </c>
      <c r="J32" s="51">
        <f ca="1">SUMIFS(OFFSET(Persistance!$K:$K,0,$A$2-Persistance!$K$1),Persistance!$B:$B,$A32,Persistance!$D:$D,J$5,Persistance!$A:$A,"Business")*1000</f>
        <v>0</v>
      </c>
      <c r="K32" s="51">
        <f ca="1">SUMIFS(OFFSET(Persistance!$K:$K,0,$A$2-Persistance!$K$1),Persistance!$B:$B,$A32,Persistance!$D:$D,K$5,Persistance!$A:$A,"Business")*1000</f>
        <v>0</v>
      </c>
      <c r="L32" s="34">
        <f ca="1">SUM(B32:K32)</f>
        <v>0</v>
      </c>
      <c r="M32" s="34"/>
      <c r="N32" s="34"/>
      <c r="O32" s="36"/>
      <c r="P32" s="36"/>
      <c r="Q32" s="36"/>
      <c r="R32" s="2"/>
      <c r="S32" s="2"/>
      <c r="T32" s="2"/>
      <c r="U32" s="2"/>
    </row>
    <row r="33" spans="1:21" x14ac:dyDescent="0.25">
      <c r="A33" s="23" t="s">
        <v>66</v>
      </c>
      <c r="B33" s="51">
        <f ca="1">SUMIFS(OFFSET(Persistance!$K:$K,0,$A$2-Persistance!$K$1),Persistance!$B:$B,$A33,Persistance!$D:$D,B$5,Persistance!$A:$A,"Business")*1000</f>
        <v>0</v>
      </c>
      <c r="C33" s="51">
        <f ca="1">SUMIFS(OFFSET(Persistance!$K:$K,0,$A$2-Persistance!$K$1),Persistance!$B:$B,$A33,Persistance!$D:$D,C$5,Persistance!$A:$A,"Business")*1000</f>
        <v>0</v>
      </c>
      <c r="D33" s="51">
        <f ca="1">SUMIFS(OFFSET(Persistance!$K:$K,0,$A$2-Persistance!$K$1),Persistance!$B:$B,$A33,Persistance!$D:$D,D$5,Persistance!$A:$A,"Business")*1000</f>
        <v>0</v>
      </c>
      <c r="E33" s="51">
        <f ca="1">SUMIFS(OFFSET(Persistance!$K:$K,0,$A$2-Persistance!$K$1),Persistance!$B:$B,$A33,Persistance!$D:$D,E$5,Persistance!$A:$A,"Business")*1000</f>
        <v>0</v>
      </c>
      <c r="F33" s="51">
        <f ca="1">SUMIFS(OFFSET(Persistance!$K:$K,0,$A$2-Persistance!$K$1),Persistance!$B:$B,$A33,Persistance!$D:$D,F$5,Persistance!$A:$A,"Business")*1000</f>
        <v>0</v>
      </c>
      <c r="G33" s="51">
        <f ca="1">SUMIFS(OFFSET(Persistance!$K:$K,0,$A$2-Persistance!$K$1),Persistance!$B:$B,$A33,Persistance!$D:$D,G$5,Persistance!$A:$A,"Business")*1000</f>
        <v>0</v>
      </c>
      <c r="H33" s="51">
        <f ca="1">SUMIFS(OFFSET(Persistance!$K:$K,0,$A$2-Persistance!$K$1),Persistance!$B:$B,$A33,Persistance!$D:$D,H$5,Persistance!$A:$A,"Business")*1000</f>
        <v>0</v>
      </c>
      <c r="I33" s="51">
        <f ca="1">SUMIFS(OFFSET(Persistance!$K:$K,0,$A$2-Persistance!$K$1),Persistance!$B:$B,$A33,Persistance!$D:$D,I$5,Persistance!$A:$A,"Business")*1000</f>
        <v>0</v>
      </c>
      <c r="J33" s="51">
        <f ca="1">SUMIFS(OFFSET(Persistance!$K:$K,0,$A$2-Persistance!$K$1),Persistance!$B:$B,$A33,Persistance!$D:$D,J$5,Persistance!$A:$A,"Business")*1000</f>
        <v>0</v>
      </c>
      <c r="K33" s="51">
        <f ca="1">SUMIFS(OFFSET(Persistance!$K:$K,0,$A$2-Persistance!$K$1),Persistance!$B:$B,$A33,Persistance!$D:$D,K$5,Persistance!$A:$A,"Business")*1000</f>
        <v>0</v>
      </c>
      <c r="L33" s="34">
        <f t="shared" ref="L33:L49" ca="1" si="4">SUM(B33:K33)</f>
        <v>0</v>
      </c>
      <c r="M33" s="34"/>
      <c r="N33" s="34"/>
      <c r="O33" s="36"/>
      <c r="P33" s="36"/>
      <c r="Q33" s="36"/>
      <c r="R33" s="2"/>
      <c r="S33" s="2"/>
      <c r="T33" s="2"/>
      <c r="U33" s="2"/>
    </row>
    <row r="34" spans="1:21" x14ac:dyDescent="0.25">
      <c r="A34" s="23" t="s">
        <v>65</v>
      </c>
      <c r="B34" s="51">
        <f ca="1">SUMIFS(OFFSET(Persistance!$K:$K,0,$A$2-Persistance!$K$1),Persistance!$B:$B,$A34,Persistance!$D:$D,B$5,Persistance!$A:$A,"Business")*1000</f>
        <v>0</v>
      </c>
      <c r="C34" s="51">
        <f ca="1">SUMIFS(OFFSET(Persistance!$K:$K,0,$A$2-Persistance!$K$1),Persistance!$B:$B,$A34,Persistance!$D:$D,C$5,Persistance!$A:$A,"Business")*1000</f>
        <v>0</v>
      </c>
      <c r="D34" s="51">
        <f ca="1">SUMIFS(OFFSET(Persistance!$K:$K,0,$A$2-Persistance!$K$1),Persistance!$B:$B,$A34,Persistance!$D:$D,D$5,Persistance!$A:$A,"Business")*1000</f>
        <v>0</v>
      </c>
      <c r="E34" s="51">
        <f ca="1">SUMIFS(OFFSET(Persistance!$K:$K,0,$A$2-Persistance!$K$1),Persistance!$B:$B,$A34,Persistance!$D:$D,E$5,Persistance!$A:$A,"Business")*1000</f>
        <v>0</v>
      </c>
      <c r="F34" s="51">
        <f ca="1">SUMIFS(OFFSET(Persistance!$K:$K,0,$A$2-Persistance!$K$1),Persistance!$B:$B,$A34,Persistance!$D:$D,F$5,Persistance!$A:$A,"Business")*1000</f>
        <v>0</v>
      </c>
      <c r="G34" s="51">
        <f ca="1">SUMIFS(OFFSET(Persistance!$K:$K,0,$A$2-Persistance!$K$1),Persistance!$B:$B,$A34,Persistance!$D:$D,G$5,Persistance!$A:$A,"Business")*1000</f>
        <v>0</v>
      </c>
      <c r="H34" s="51">
        <f ca="1">SUMIFS(OFFSET(Persistance!$K:$K,0,$A$2-Persistance!$K$1),Persistance!$B:$B,$A34,Persistance!$D:$D,H$5,Persistance!$A:$A,"Business")*1000</f>
        <v>0</v>
      </c>
      <c r="I34" s="51">
        <f ca="1">SUMIFS(OFFSET(Persistance!$K:$K,0,$A$2-Persistance!$K$1),Persistance!$B:$B,$A34,Persistance!$D:$D,I$5,Persistance!$A:$A,"Business")*1000</f>
        <v>0</v>
      </c>
      <c r="J34" s="51">
        <f ca="1">SUMIFS(OFFSET(Persistance!$K:$K,0,$A$2-Persistance!$K$1),Persistance!$B:$B,$A34,Persistance!$D:$D,J$5,Persistance!$A:$A,"Business")*1000</f>
        <v>0</v>
      </c>
      <c r="K34" s="51">
        <f ca="1">SUMIFS(OFFSET(Persistance!$K:$K,0,$A$2-Persistance!$K$1),Persistance!$B:$B,$A34,Persistance!$D:$D,K$5,Persistance!$A:$A,"Business")*1000</f>
        <v>0</v>
      </c>
      <c r="L34" s="34">
        <f t="shared" ca="1" si="4"/>
        <v>0</v>
      </c>
      <c r="M34" s="34"/>
      <c r="N34" s="34"/>
      <c r="O34" s="36"/>
      <c r="P34" s="36"/>
      <c r="Q34" s="36"/>
      <c r="R34" s="2"/>
      <c r="S34" s="2"/>
      <c r="T34" s="2"/>
      <c r="U34" s="2"/>
    </row>
    <row r="35" spans="1:21" x14ac:dyDescent="0.25">
      <c r="A35" s="23" t="s">
        <v>42</v>
      </c>
      <c r="B35" s="51">
        <f ca="1">SUMIFS(OFFSET(Persistance!$K:$K,0,$A$2-Persistance!$K$1),Persistance!$B:$B,$A35,Persistance!$D:$D,B$5,Persistance!$A:$A,"Business")*1000</f>
        <v>0</v>
      </c>
      <c r="C35" s="51">
        <f ca="1">SUMIFS(OFFSET(Persistance!$K:$K,0,$A$2-Persistance!$K$1),Persistance!$B:$B,$A35,Persistance!$D:$D,C$5,Persistance!$A:$A,"Business")*1000</f>
        <v>0</v>
      </c>
      <c r="D35" s="51">
        <f ca="1">SUMIFS(OFFSET(Persistance!$K:$K,0,$A$2-Persistance!$K$1),Persistance!$B:$B,$A35,Persistance!$D:$D,D$5,Persistance!$A:$A,"Business")*1000</f>
        <v>0</v>
      </c>
      <c r="E35" s="51">
        <f ca="1">SUMIFS(OFFSET(Persistance!$K:$K,0,$A$2-Persistance!$K$1),Persistance!$B:$B,$A35,Persistance!$D:$D,E$5,Persistance!$A:$A,"Business")*1000</f>
        <v>0</v>
      </c>
      <c r="F35" s="51">
        <f ca="1">SUMIFS(OFFSET(Persistance!$K:$K,0,$A$2-Persistance!$K$1),Persistance!$B:$B,$A35,Persistance!$D:$D,F$5,Persistance!$A:$A,"Business")*1000</f>
        <v>0</v>
      </c>
      <c r="G35" s="51">
        <f ca="1">SUMIFS(OFFSET(Persistance!$K:$K,0,$A$2-Persistance!$K$1),Persistance!$B:$B,$A35,Persistance!$D:$D,G$5,Persistance!$A:$A,"Business")*1000</f>
        <v>0</v>
      </c>
      <c r="H35" s="51">
        <f ca="1">SUMIFS(OFFSET(Persistance!$K:$K,0,$A$2-Persistance!$K$1),Persistance!$B:$B,$A35,Persistance!$D:$D,H$5,Persistance!$A:$A,"Business")*1000</f>
        <v>0</v>
      </c>
      <c r="I35" s="51">
        <f ca="1">SUMIFS(OFFSET(Persistance!$K:$K,0,$A$2-Persistance!$K$1),Persistance!$B:$B,$A35,Persistance!$D:$D,I$5,Persistance!$A:$A,"Business")*1000</f>
        <v>0</v>
      </c>
      <c r="J35" s="51">
        <f ca="1">SUMIFS(OFFSET(Persistance!$K:$K,0,$A$2-Persistance!$K$1),Persistance!$B:$B,$A35,Persistance!$D:$D,J$5,Persistance!$A:$A,"Business")*1000</f>
        <v>0</v>
      </c>
      <c r="K35" s="51">
        <f ca="1">SUMIFS(OFFSET(Persistance!$K:$K,0,$A$2-Persistance!$K$1),Persistance!$B:$B,$A35,Persistance!$D:$D,K$5,Persistance!$A:$A,"Business")*1000</f>
        <v>0</v>
      </c>
      <c r="L35" s="34">
        <f t="shared" ca="1" si="4"/>
        <v>0</v>
      </c>
      <c r="M35" s="34"/>
      <c r="N35" s="34"/>
      <c r="O35" s="36"/>
      <c r="P35" s="36"/>
      <c r="Q35" s="36"/>
      <c r="R35" s="2"/>
      <c r="S35" s="2"/>
      <c r="T35" s="2"/>
      <c r="U35" s="2"/>
    </row>
    <row r="36" spans="1:21" x14ac:dyDescent="0.25">
      <c r="A36" s="23" t="s">
        <v>7</v>
      </c>
      <c r="B36" s="51">
        <f ca="1">SUMIFS(OFFSET(Persistance!$K:$K,0,$A$2-Persistance!$K$1),Persistance!$B:$B,$A36,Persistance!$D:$D,B$5,Persistance!$A:$A,"Business")*1000</f>
        <v>187229.74451654937</v>
      </c>
      <c r="C36" s="51">
        <f ca="1">SUMIFS(OFFSET(Persistance!$K:$K,0,$A$2-Persistance!$K$1),Persistance!$B:$B,$A36,Persistance!$D:$D,C$5,Persistance!$A:$A,"Business")*1000</f>
        <v>225554.94849308839</v>
      </c>
      <c r="D36" s="51">
        <f ca="1">SUMIFS(OFFSET(Persistance!$K:$K,0,$A$2-Persistance!$K$1),Persistance!$B:$B,$A36,Persistance!$D:$D,D$5,Persistance!$A:$A,"Business")*1000</f>
        <v>0</v>
      </c>
      <c r="E36" s="51">
        <f ca="1">SUMIFS(OFFSET(Persistance!$K:$K,0,$A$2-Persistance!$K$1),Persistance!$B:$B,$A36,Persistance!$D:$D,E$5,Persistance!$A:$A,"Business")*1000</f>
        <v>269177.16019999998</v>
      </c>
      <c r="F36" s="51">
        <f ca="1">SUMIFS(OFFSET(Persistance!$K:$K,0,$A$2-Persistance!$K$1),Persistance!$B:$B,$A36,Persistance!$D:$D,F$5,Persistance!$A:$A,"Business")*1000</f>
        <v>0</v>
      </c>
      <c r="G36" s="51">
        <f ca="1">SUMIFS(OFFSET(Persistance!$K:$K,0,$A$2-Persistance!$K$1),Persistance!$B:$B,$A36,Persistance!$D:$D,G$5,Persistance!$A:$A,"Business")*1000</f>
        <v>0</v>
      </c>
      <c r="H36" s="51">
        <f ca="1">SUMIFS(OFFSET(Persistance!$K:$K,0,$A$2-Persistance!$K$1),Persistance!$B:$B,$A36,Persistance!$D:$D,H$5,Persistance!$A:$A,"Business")*1000</f>
        <v>0</v>
      </c>
      <c r="I36" s="51">
        <f ca="1">SUMIFS(OFFSET(Persistance!$K:$K,0,$A$2-Persistance!$K$1),Persistance!$B:$B,$A36,Persistance!$D:$D,I$5,Persistance!$A:$A,"Business")*1000</f>
        <v>0</v>
      </c>
      <c r="J36" s="51">
        <f ca="1">SUMIFS(OFFSET(Persistance!$K:$K,0,$A$2-Persistance!$K$1),Persistance!$B:$B,$A36,Persistance!$D:$D,J$5,Persistance!$A:$A,"Business")*1000</f>
        <v>0</v>
      </c>
      <c r="K36" s="51">
        <f ca="1">SUMIFS(OFFSET(Persistance!$K:$K,0,$A$2-Persistance!$K$1),Persistance!$B:$B,$A36,Persistance!$D:$D,K$5,Persistance!$A:$A,"Business")*1000</f>
        <v>0</v>
      </c>
      <c r="L36" s="34">
        <f t="shared" ca="1" si="4"/>
        <v>681961.8532096378</v>
      </c>
      <c r="M36" s="34"/>
      <c r="N36" s="34"/>
      <c r="O36" s="36"/>
      <c r="P36" s="36"/>
      <c r="Q36" s="36"/>
      <c r="R36" s="2"/>
      <c r="S36" s="2"/>
      <c r="T36" s="2"/>
      <c r="U36" s="2"/>
    </row>
    <row r="37" spans="1:21" x14ac:dyDescent="0.25">
      <c r="A37" s="23" t="s">
        <v>56</v>
      </c>
      <c r="B37" s="51">
        <f ca="1">SUMIFS(OFFSET(Persistance!$K:$K,0,$A$2-Persistance!$K$1),Persistance!$B:$B,$A37,Persistance!$D:$D,B$5,Persistance!$A:$A,"Business")*1000</f>
        <v>0</v>
      </c>
      <c r="C37" s="51">
        <f ca="1">SUMIFS(OFFSET(Persistance!$K:$K,0,$A$2-Persistance!$K$1),Persistance!$B:$B,$A37,Persistance!$D:$D,C$5,Persistance!$A:$A,"Business")*1000</f>
        <v>0</v>
      </c>
      <c r="D37" s="51">
        <f ca="1">SUMIFS(OFFSET(Persistance!$K:$K,0,$A$2-Persistance!$K$1),Persistance!$B:$B,$A37,Persistance!$D:$D,D$5,Persistance!$A:$A,"Business")*1000</f>
        <v>0</v>
      </c>
      <c r="E37" s="51">
        <f ca="1">SUMIFS(OFFSET(Persistance!$K:$K,0,$A$2-Persistance!$K$1),Persistance!$B:$B,$A37,Persistance!$D:$D,E$5,Persistance!$A:$A,"Business")*1000</f>
        <v>0</v>
      </c>
      <c r="F37" s="51">
        <f ca="1">SUMIFS(OFFSET(Persistance!$K:$K,0,$A$2-Persistance!$K$1),Persistance!$B:$B,$A37,Persistance!$D:$D,F$5,Persistance!$A:$A,"Business")*1000</f>
        <v>0</v>
      </c>
      <c r="G37" s="51">
        <f ca="1">SUMIFS(OFFSET(Persistance!$K:$K,0,$A$2-Persistance!$K$1),Persistance!$B:$B,$A37,Persistance!$D:$D,G$5,Persistance!$A:$A,"Business")*1000</f>
        <v>0</v>
      </c>
      <c r="H37" s="51">
        <f ca="1">SUMIFS(OFFSET(Persistance!$K:$K,0,$A$2-Persistance!$K$1),Persistance!$B:$B,$A37,Persistance!$D:$D,H$5,Persistance!$A:$A,"Business")*1000</f>
        <v>0</v>
      </c>
      <c r="I37" s="51">
        <f ca="1">SUMIFS(OFFSET(Persistance!$K:$K,0,$A$2-Persistance!$K$1),Persistance!$B:$B,$A37,Persistance!$D:$D,I$5,Persistance!$A:$A,"Business")*1000</f>
        <v>0</v>
      </c>
      <c r="J37" s="51">
        <f ca="1">SUMIFS(OFFSET(Persistance!$K:$K,0,$A$2-Persistance!$K$1),Persistance!$B:$B,$A37,Persistance!$D:$D,J$5,Persistance!$A:$A,"Business")*1000</f>
        <v>0</v>
      </c>
      <c r="K37" s="51">
        <f ca="1">SUMIFS(OFFSET(Persistance!$K:$K,0,$A$2-Persistance!$K$1),Persistance!$B:$B,$A37,Persistance!$D:$D,K$5,Persistance!$A:$A,"Business")*1000</f>
        <v>0</v>
      </c>
      <c r="L37" s="34">
        <f t="shared" ca="1" si="4"/>
        <v>0</v>
      </c>
      <c r="M37" s="34"/>
      <c r="N37" s="34"/>
      <c r="O37" s="36"/>
      <c r="P37" s="36"/>
      <c r="Q37" s="36"/>
      <c r="R37" s="2"/>
      <c r="S37" s="2"/>
      <c r="T37" s="2"/>
      <c r="U37" s="2"/>
    </row>
    <row r="38" spans="1:21" x14ac:dyDescent="0.25">
      <c r="A38" s="23" t="s">
        <v>13</v>
      </c>
      <c r="B38" s="51">
        <f ca="1">SUMIFS(OFFSET(Persistance!$K:$K,0,$A$2-Persistance!$K$1),Persistance!$B:$B,$A38,Persistance!$D:$D,B$5,Persistance!$A:$A,"Business")*1000</f>
        <v>7842.98302788</v>
      </c>
      <c r="C38" s="51">
        <f ca="1">SUMIFS(OFFSET(Persistance!$K:$K,0,$A$2-Persistance!$K$1),Persistance!$B:$B,$A38,Persistance!$D:$D,C$5,Persistance!$A:$A,"Business")*1000</f>
        <v>0</v>
      </c>
      <c r="D38" s="51">
        <f ca="1">SUMIFS(OFFSET(Persistance!$K:$K,0,$A$2-Persistance!$K$1),Persistance!$B:$B,$A38,Persistance!$D:$D,D$5,Persistance!$A:$A,"Business")*1000</f>
        <v>0</v>
      </c>
      <c r="E38" s="51">
        <f ca="1">SUMIFS(OFFSET(Persistance!$K:$K,0,$A$2-Persistance!$K$1),Persistance!$B:$B,$A38,Persistance!$D:$D,E$5,Persistance!$A:$A,"Business")*1000</f>
        <v>0</v>
      </c>
      <c r="F38" s="51">
        <f ca="1">SUMIFS(OFFSET(Persistance!$K:$K,0,$A$2-Persistance!$K$1),Persistance!$B:$B,$A38,Persistance!$D:$D,F$5,Persistance!$A:$A,"Business")*1000</f>
        <v>0</v>
      </c>
      <c r="G38" s="51">
        <f ca="1">SUMIFS(OFFSET(Persistance!$K:$K,0,$A$2-Persistance!$K$1),Persistance!$B:$B,$A38,Persistance!$D:$D,G$5,Persistance!$A:$A,"Business")*1000</f>
        <v>0</v>
      </c>
      <c r="H38" s="51">
        <f ca="1">SUMIFS(OFFSET(Persistance!$K:$K,0,$A$2-Persistance!$K$1),Persistance!$B:$B,$A38,Persistance!$D:$D,H$5,Persistance!$A:$A,"Business")*1000</f>
        <v>0</v>
      </c>
      <c r="I38" s="51">
        <f ca="1">SUMIFS(OFFSET(Persistance!$K:$K,0,$A$2-Persistance!$K$1),Persistance!$B:$B,$A38,Persistance!$D:$D,I$5,Persistance!$A:$A,"Business")*1000</f>
        <v>0</v>
      </c>
      <c r="J38" s="51">
        <f ca="1">SUMIFS(OFFSET(Persistance!$K:$K,0,$A$2-Persistance!$K$1),Persistance!$B:$B,$A38,Persistance!$D:$D,J$5,Persistance!$A:$A,"Business")*1000</f>
        <v>0</v>
      </c>
      <c r="K38" s="51">
        <f ca="1">SUMIFS(OFFSET(Persistance!$K:$K,0,$A$2-Persistance!$K$1),Persistance!$B:$B,$A38,Persistance!$D:$D,K$5,Persistance!$A:$A,"Business")*1000</f>
        <v>0</v>
      </c>
      <c r="L38" s="34">
        <f t="shared" ca="1" si="4"/>
        <v>7842.98302788</v>
      </c>
      <c r="M38" s="34"/>
      <c r="N38" s="34"/>
      <c r="O38" s="36"/>
      <c r="P38" s="36"/>
      <c r="Q38" s="36"/>
      <c r="R38" s="2"/>
      <c r="S38" s="2"/>
      <c r="T38" s="2"/>
      <c r="U38" s="2"/>
    </row>
    <row r="39" spans="1:21" x14ac:dyDescent="0.25">
      <c r="A39" s="23" t="s">
        <v>69</v>
      </c>
      <c r="B39" s="51">
        <f ca="1">SUMIFS(OFFSET(Persistance!$K:$K,0,$A$2-Persistance!$K$1),Persistance!$B:$B,$A39,Persistance!$D:$D,B$5,Persistance!$A:$A,"Business")*1000</f>
        <v>0</v>
      </c>
      <c r="C39" s="51">
        <f ca="1">SUMIFS(OFFSET(Persistance!$K:$K,0,$A$2-Persistance!$K$1),Persistance!$B:$B,$A39,Persistance!$D:$D,C$5,Persistance!$A:$A,"Business")*1000</f>
        <v>0</v>
      </c>
      <c r="D39" s="51">
        <f ca="1">SUMIFS(OFFSET(Persistance!$K:$K,0,$A$2-Persistance!$K$1),Persistance!$B:$B,$A39,Persistance!$D:$D,D$5,Persistance!$A:$A,"Business")*1000</f>
        <v>0</v>
      </c>
      <c r="E39" s="51">
        <f ca="1">SUMIFS(OFFSET(Persistance!$K:$K,0,$A$2-Persistance!$K$1),Persistance!$B:$B,$A39,Persistance!$D:$D,E$5,Persistance!$A:$A,"Business")*1000</f>
        <v>0</v>
      </c>
      <c r="F39" s="51">
        <f ca="1">SUMIFS(OFFSET(Persistance!$K:$K,0,$A$2-Persistance!$K$1),Persistance!$B:$B,$A39,Persistance!$D:$D,F$5,Persistance!$A:$A,"Business")*1000</f>
        <v>0</v>
      </c>
      <c r="G39" s="51">
        <f ca="1">SUMIFS(OFFSET(Persistance!$K:$K,0,$A$2-Persistance!$K$1),Persistance!$B:$B,$A39,Persistance!$D:$D,G$5,Persistance!$A:$A,"Business")*1000</f>
        <v>0</v>
      </c>
      <c r="H39" s="51">
        <f ca="1">SUMIFS(OFFSET(Persistance!$K:$K,0,$A$2-Persistance!$K$1),Persistance!$B:$B,$A39,Persistance!$D:$D,H$5,Persistance!$A:$A,"Business")*1000</f>
        <v>0</v>
      </c>
      <c r="I39" s="51">
        <f ca="1">SUMIFS(OFFSET(Persistance!$K:$K,0,$A$2-Persistance!$K$1),Persistance!$B:$B,$A39,Persistance!$D:$D,I$5,Persistance!$A:$A,"Business")*1000</f>
        <v>0</v>
      </c>
      <c r="J39" s="51">
        <f ca="1">SUMIFS(OFFSET(Persistance!$K:$K,0,$A$2-Persistance!$K$1),Persistance!$B:$B,$A39,Persistance!$D:$D,J$5,Persistance!$A:$A,"Business")*1000</f>
        <v>0</v>
      </c>
      <c r="K39" s="51">
        <f ca="1">SUMIFS(OFFSET(Persistance!$K:$K,0,$A$2-Persistance!$K$1),Persistance!$B:$B,$A39,Persistance!$D:$D,K$5,Persistance!$A:$A,"Business")*1000</f>
        <v>0</v>
      </c>
      <c r="L39" s="34">
        <f t="shared" ca="1" si="4"/>
        <v>0</v>
      </c>
      <c r="M39" s="34"/>
      <c r="N39" s="34"/>
      <c r="O39" s="36"/>
      <c r="P39" s="36"/>
      <c r="Q39" s="36"/>
      <c r="R39" s="2"/>
      <c r="S39" s="2"/>
      <c r="T39" s="2"/>
      <c r="U39" s="2"/>
    </row>
    <row r="40" spans="1:21" x14ac:dyDescent="0.25">
      <c r="A40" s="23" t="s">
        <v>90</v>
      </c>
      <c r="B40" s="51">
        <f ca="1">SUMIFS(OFFSET(Persistance!$K:$K,0,$A$2-Persistance!$K$1),Persistance!$B:$B,$A40,Persistance!$D:$D,B$5,Persistance!$A:$A,"Business")*1000</f>
        <v>0</v>
      </c>
      <c r="C40" s="51">
        <f ca="1">SUMIFS(OFFSET(Persistance!$K:$K,0,$A$2-Persistance!$K$1),Persistance!$B:$B,$A40,Persistance!$D:$D,C$5,Persistance!$A:$A,"Business")*1000</f>
        <v>0</v>
      </c>
      <c r="D40" s="51">
        <f ca="1">SUMIFS(OFFSET(Persistance!$K:$K,0,$A$2-Persistance!$K$1),Persistance!$B:$B,$A40,Persistance!$D:$D,D$5,Persistance!$A:$A,"Business")*1000</f>
        <v>0</v>
      </c>
      <c r="E40" s="51">
        <f ca="1">SUMIFS(OFFSET(Persistance!$K:$K,0,$A$2-Persistance!$K$1),Persistance!$B:$B,$A40,Persistance!$D:$D,E$5,Persistance!$A:$A,"Business")*1000</f>
        <v>0</v>
      </c>
      <c r="F40" s="51">
        <f ca="1">SUMIFS(OFFSET(Persistance!$K:$K,0,$A$2-Persistance!$K$1),Persistance!$B:$B,$A40,Persistance!$D:$D,F$5,Persistance!$A:$A,"Business")*1000</f>
        <v>0</v>
      </c>
      <c r="G40" s="51">
        <f ca="1">SUMIFS(OFFSET(Persistance!$K:$K,0,$A$2-Persistance!$K$1),Persistance!$B:$B,$A40,Persistance!$D:$D,G$5,Persistance!$A:$A,"Business")*1000</f>
        <v>0</v>
      </c>
      <c r="H40" s="51">
        <f ca="1">SUMIFS(OFFSET(Persistance!$K:$K,0,$A$2-Persistance!$K$1),Persistance!$B:$B,$A40,Persistance!$D:$D,H$5,Persistance!$A:$A,"Business")*1000</f>
        <v>0</v>
      </c>
      <c r="I40" s="51">
        <f ca="1">SUMIFS(OFFSET(Persistance!$K:$K,0,$A$2-Persistance!$K$1),Persistance!$B:$B,$A40,Persistance!$D:$D,I$5,Persistance!$A:$A,"Business")*1000</f>
        <v>0</v>
      </c>
      <c r="J40" s="51">
        <f ca="1">SUMIFS(OFFSET(Persistance!$K:$K,0,$A$2-Persistance!$K$1),Persistance!$B:$B,$A40,Persistance!$D:$D,J$5,Persistance!$A:$A,"Business")*1000</f>
        <v>0</v>
      </c>
      <c r="K40" s="51">
        <f ca="1">SUMIFS(OFFSET(Persistance!$K:$K,0,$A$2-Persistance!$K$1),Persistance!$B:$B,$A40,Persistance!$D:$D,K$5,Persistance!$A:$A,"Business")*1000</f>
        <v>0</v>
      </c>
      <c r="L40" s="34">
        <f t="shared" ca="1" si="4"/>
        <v>0</v>
      </c>
      <c r="M40" s="34"/>
      <c r="N40" s="34"/>
      <c r="O40" s="36"/>
      <c r="P40" s="36"/>
      <c r="Q40" s="36"/>
      <c r="R40" s="2"/>
      <c r="S40" s="2"/>
      <c r="T40" s="2"/>
      <c r="U40" s="2"/>
    </row>
    <row r="41" spans="1:21" x14ac:dyDescent="0.25">
      <c r="A41" s="23" t="s">
        <v>55</v>
      </c>
      <c r="B41" s="51">
        <f ca="1">SUMIFS(OFFSET(Persistance!$K:$K,0,$A$2-Persistance!$K$1),Persistance!$B:$B,$A41,Persistance!$D:$D,B$5,Persistance!$A:$A,"Business")*1000</f>
        <v>0</v>
      </c>
      <c r="C41" s="51">
        <f ca="1">SUMIFS(OFFSET(Persistance!$K:$K,0,$A$2-Persistance!$K$1),Persistance!$B:$B,$A41,Persistance!$D:$D,C$5,Persistance!$A:$A,"Business")*1000</f>
        <v>0</v>
      </c>
      <c r="D41" s="51">
        <f ca="1">SUMIFS(OFFSET(Persistance!$K:$K,0,$A$2-Persistance!$K$1),Persistance!$B:$B,$A41,Persistance!$D:$D,D$5,Persistance!$A:$A,"Business")*1000</f>
        <v>0</v>
      </c>
      <c r="E41" s="51">
        <f ca="1">SUMIFS(OFFSET(Persistance!$K:$K,0,$A$2-Persistance!$K$1),Persistance!$B:$B,$A41,Persistance!$D:$D,E$5,Persistance!$A:$A,"Business")*1000</f>
        <v>0</v>
      </c>
      <c r="F41" s="51">
        <f ca="1">SUMIFS(OFFSET(Persistance!$K:$K,0,$A$2-Persistance!$K$1),Persistance!$B:$B,$A41,Persistance!$D:$D,F$5,Persistance!$A:$A,"Business")*1000</f>
        <v>0</v>
      </c>
      <c r="G41" s="51">
        <f ca="1">SUMIFS(OFFSET(Persistance!$K:$K,0,$A$2-Persistance!$K$1),Persistance!$B:$B,$A41,Persistance!$D:$D,G$5,Persistance!$A:$A,"Business")*1000</f>
        <v>0</v>
      </c>
      <c r="H41" s="51">
        <f ca="1">SUMIFS(OFFSET(Persistance!$K:$K,0,$A$2-Persistance!$K$1),Persistance!$B:$B,$A41,Persistance!$D:$D,H$5,Persistance!$A:$A,"Business")*1000</f>
        <v>0</v>
      </c>
      <c r="I41" s="51">
        <f ca="1">SUMIFS(OFFSET(Persistance!$K:$K,0,$A$2-Persistance!$K$1),Persistance!$B:$B,$A41,Persistance!$D:$D,I$5,Persistance!$A:$A,"Business")*1000</f>
        <v>0</v>
      </c>
      <c r="J41" s="51">
        <f ca="1">SUMIFS(OFFSET(Persistance!$K:$K,0,$A$2-Persistance!$K$1),Persistance!$B:$B,$A41,Persistance!$D:$D,J$5,Persistance!$A:$A,"Business")*1000</f>
        <v>0</v>
      </c>
      <c r="K41" s="51">
        <f ca="1">SUMIFS(OFFSET(Persistance!$K:$K,0,$A$2-Persistance!$K$1),Persistance!$B:$B,$A41,Persistance!$D:$D,K$5,Persistance!$A:$A,"Business")*1000</f>
        <v>0</v>
      </c>
      <c r="L41" s="34">
        <f t="shared" ca="1" si="4"/>
        <v>0</v>
      </c>
      <c r="M41" s="34"/>
      <c r="N41" s="34"/>
      <c r="O41" s="36"/>
      <c r="P41" s="36"/>
      <c r="Q41" s="36"/>
      <c r="R41" s="2"/>
      <c r="S41" s="2"/>
      <c r="T41" s="2"/>
      <c r="U41" s="2"/>
    </row>
    <row r="42" spans="1:21" x14ac:dyDescent="0.25">
      <c r="A42" s="23" t="s">
        <v>8</v>
      </c>
      <c r="B42" s="51">
        <f ca="1">SUMIFS(OFFSET(Persistance!$K:$K,0,$A$2-Persistance!$K$1),Persistance!$B:$B,$A42,Persistance!$D:$D,B$5,Persistance!$A:$A,"Business")*1000</f>
        <v>93785</v>
      </c>
      <c r="C42" s="51">
        <f ca="1">SUMIFS(OFFSET(Persistance!$K:$K,0,$A$2-Persistance!$K$1),Persistance!$B:$B,$A42,Persistance!$D:$D,C$5,Persistance!$A:$A,"Business")*1000</f>
        <v>98245.909961840545</v>
      </c>
      <c r="D42" s="51">
        <f ca="1">SUMIFS(OFFSET(Persistance!$K:$K,0,$A$2-Persistance!$K$1),Persistance!$B:$B,$A42,Persistance!$D:$D,D$5,Persistance!$A:$A,"Business")*1000</f>
        <v>0</v>
      </c>
      <c r="E42" s="51">
        <f ca="1">SUMIFS(OFFSET(Persistance!$K:$K,0,$A$2-Persistance!$K$1),Persistance!$B:$B,$A42,Persistance!$D:$D,E$5,Persistance!$A:$A,"Business")*1000</f>
        <v>0</v>
      </c>
      <c r="F42" s="51">
        <f ca="1">SUMIFS(OFFSET(Persistance!$K:$K,0,$A$2-Persistance!$K$1),Persistance!$B:$B,$A42,Persistance!$D:$D,F$5,Persistance!$A:$A,"Business")*1000</f>
        <v>0</v>
      </c>
      <c r="G42" s="51">
        <f ca="1">SUMIFS(OFFSET(Persistance!$K:$K,0,$A$2-Persistance!$K$1),Persistance!$B:$B,$A42,Persistance!$D:$D,G$5,Persistance!$A:$A,"Business")*1000</f>
        <v>0</v>
      </c>
      <c r="H42" s="51">
        <f ca="1">SUMIFS(OFFSET(Persistance!$K:$K,0,$A$2-Persistance!$K$1),Persistance!$B:$B,$A42,Persistance!$D:$D,H$5,Persistance!$A:$A,"Business")*1000</f>
        <v>0</v>
      </c>
      <c r="I42" s="51">
        <f ca="1">SUMIFS(OFFSET(Persistance!$K:$K,0,$A$2-Persistance!$K$1),Persistance!$B:$B,$A42,Persistance!$D:$D,I$5,Persistance!$A:$A,"Business")*1000</f>
        <v>0</v>
      </c>
      <c r="J42" s="51">
        <f ca="1">SUMIFS(OFFSET(Persistance!$K:$K,0,$A$2-Persistance!$K$1),Persistance!$B:$B,$A42,Persistance!$D:$D,J$5,Persistance!$A:$A,"Business")*1000</f>
        <v>0</v>
      </c>
      <c r="K42" s="51">
        <f ca="1">SUMIFS(OFFSET(Persistance!$K:$K,0,$A$2-Persistance!$K$1),Persistance!$B:$B,$A42,Persistance!$D:$D,K$5,Persistance!$A:$A,"Business")*1000</f>
        <v>0</v>
      </c>
      <c r="L42" s="34">
        <f t="shared" ca="1" si="4"/>
        <v>192030.90996184055</v>
      </c>
      <c r="M42" s="34"/>
      <c r="N42" s="34"/>
      <c r="O42" s="36"/>
      <c r="P42" s="36"/>
      <c r="Q42" s="36"/>
      <c r="R42" s="2"/>
      <c r="S42" s="2"/>
      <c r="T42" s="2"/>
      <c r="U42" s="2"/>
    </row>
    <row r="43" spans="1:21" x14ac:dyDescent="0.25">
      <c r="A43" s="23" t="s">
        <v>57</v>
      </c>
      <c r="B43" s="51">
        <f ca="1">SUMIFS(OFFSET(Persistance!$K:$K,0,$A$2-Persistance!$K$1),Persistance!$B:$B,$A43,Persistance!$D:$D,B$5,Persistance!$A:$A,"Business")*1000</f>
        <v>0</v>
      </c>
      <c r="C43" s="51">
        <f ca="1">SUMIFS(OFFSET(Persistance!$K:$K,0,$A$2-Persistance!$K$1),Persistance!$B:$B,$A43,Persistance!$D:$D,C$5,Persistance!$A:$A,"Business")*1000</f>
        <v>0</v>
      </c>
      <c r="D43" s="51">
        <f ca="1">SUMIFS(OFFSET(Persistance!$K:$K,0,$A$2-Persistance!$K$1),Persistance!$B:$B,$A43,Persistance!$D:$D,D$5,Persistance!$A:$A,"Business")*1000</f>
        <v>0</v>
      </c>
      <c r="E43" s="51">
        <f ca="1">SUMIFS(OFFSET(Persistance!$K:$K,0,$A$2-Persistance!$K$1),Persistance!$B:$B,$A43,Persistance!$D:$D,E$5,Persistance!$A:$A,"Business")*1000</f>
        <v>0</v>
      </c>
      <c r="F43" s="51">
        <f ca="1">SUMIFS(OFFSET(Persistance!$K:$K,0,$A$2-Persistance!$K$1),Persistance!$B:$B,$A43,Persistance!$D:$D,F$5,Persistance!$A:$A,"Business")*1000</f>
        <v>0</v>
      </c>
      <c r="G43" s="51">
        <f ca="1">SUMIFS(OFFSET(Persistance!$K:$K,0,$A$2-Persistance!$K$1),Persistance!$B:$B,$A43,Persistance!$D:$D,G$5,Persistance!$A:$A,"Business")*1000</f>
        <v>0</v>
      </c>
      <c r="H43" s="51">
        <f ca="1">SUMIFS(OFFSET(Persistance!$K:$K,0,$A$2-Persistance!$K$1),Persistance!$B:$B,$A43,Persistance!$D:$D,H$5,Persistance!$A:$A,"Business")*1000</f>
        <v>0</v>
      </c>
      <c r="I43" s="51">
        <f ca="1">SUMIFS(OFFSET(Persistance!$K:$K,0,$A$2-Persistance!$K$1),Persistance!$B:$B,$A43,Persistance!$D:$D,I$5,Persistance!$A:$A,"Business")*1000</f>
        <v>0</v>
      </c>
      <c r="J43" s="51">
        <f ca="1">SUMIFS(OFFSET(Persistance!$K:$K,0,$A$2-Persistance!$K$1),Persistance!$B:$B,$A43,Persistance!$D:$D,J$5,Persistance!$A:$A,"Business")*1000</f>
        <v>0</v>
      </c>
      <c r="K43" s="51">
        <f ca="1">SUMIFS(OFFSET(Persistance!$K:$K,0,$A$2-Persistance!$K$1),Persistance!$B:$B,$A43,Persistance!$D:$D,K$5,Persistance!$A:$A,"Business")*1000</f>
        <v>0</v>
      </c>
      <c r="L43" s="34">
        <f t="shared" ca="1" si="4"/>
        <v>0</v>
      </c>
      <c r="M43" s="34"/>
      <c r="N43" s="34"/>
      <c r="O43" s="36"/>
      <c r="P43" s="36"/>
      <c r="Q43" s="36"/>
      <c r="R43" s="2"/>
      <c r="S43" s="2"/>
      <c r="T43" s="2"/>
      <c r="U43" s="2"/>
    </row>
    <row r="44" spans="1:21" x14ac:dyDescent="0.25">
      <c r="A44" s="23" t="s">
        <v>70</v>
      </c>
      <c r="B44" s="51">
        <f ca="1">SUMIFS(OFFSET(Persistance!$K:$K,0,$A$2-Persistance!$K$1),Persistance!$B:$B,$A44,Persistance!$D:$D,B$5,Persistance!$A:$A,"Business")*1000</f>
        <v>0</v>
      </c>
      <c r="C44" s="51">
        <f ca="1">SUMIFS(OFFSET(Persistance!$K:$K,0,$A$2-Persistance!$K$1),Persistance!$B:$B,$A44,Persistance!$D:$D,C$5,Persistance!$A:$A,"Business")*1000</f>
        <v>0</v>
      </c>
      <c r="D44" s="51">
        <f ca="1">SUMIFS(OFFSET(Persistance!$K:$K,0,$A$2-Persistance!$K$1),Persistance!$B:$B,$A44,Persistance!$D:$D,D$5,Persistance!$A:$A,"Business")*1000</f>
        <v>0</v>
      </c>
      <c r="E44" s="51">
        <f ca="1">SUMIFS(OFFSET(Persistance!$K:$K,0,$A$2-Persistance!$K$1),Persistance!$B:$B,$A44,Persistance!$D:$D,E$5,Persistance!$A:$A,"Business")*1000</f>
        <v>0</v>
      </c>
      <c r="F44" s="51">
        <f ca="1">SUMIFS(OFFSET(Persistance!$K:$K,0,$A$2-Persistance!$K$1),Persistance!$B:$B,$A44,Persistance!$D:$D,F$5,Persistance!$A:$A,"Business")*1000</f>
        <v>0</v>
      </c>
      <c r="G44" s="51">
        <f ca="1">SUMIFS(OFFSET(Persistance!$K:$K,0,$A$2-Persistance!$K$1),Persistance!$B:$B,$A44,Persistance!$D:$D,G$5,Persistance!$A:$A,"Business")*1000</f>
        <v>0</v>
      </c>
      <c r="H44" s="51">
        <f ca="1">SUMIFS(OFFSET(Persistance!$K:$K,0,$A$2-Persistance!$K$1),Persistance!$B:$B,$A44,Persistance!$D:$D,H$5,Persistance!$A:$A,"Business")*1000</f>
        <v>0</v>
      </c>
      <c r="I44" s="51">
        <f ca="1">SUMIFS(OFFSET(Persistance!$K:$K,0,$A$2-Persistance!$K$1),Persistance!$B:$B,$A44,Persistance!$D:$D,I$5,Persistance!$A:$A,"Business")*1000</f>
        <v>0</v>
      </c>
      <c r="J44" s="51">
        <f ca="1">SUMIFS(OFFSET(Persistance!$K:$K,0,$A$2-Persistance!$K$1),Persistance!$B:$B,$A44,Persistance!$D:$D,J$5,Persistance!$A:$A,"Business")*1000</f>
        <v>0</v>
      </c>
      <c r="K44" s="51">
        <f ca="1">SUMIFS(OFFSET(Persistance!$K:$K,0,$A$2-Persistance!$K$1),Persistance!$B:$B,$A44,Persistance!$D:$D,K$5,Persistance!$A:$A,"Business")*1000</f>
        <v>0</v>
      </c>
      <c r="L44" s="34">
        <f t="shared" ca="1" si="4"/>
        <v>0</v>
      </c>
      <c r="M44" s="34"/>
      <c r="N44" s="34"/>
      <c r="O44" s="36"/>
      <c r="P44" s="36"/>
      <c r="Q44" s="36"/>
      <c r="R44" s="2"/>
      <c r="S44" s="2"/>
      <c r="T44" s="2"/>
      <c r="U44" s="2"/>
    </row>
    <row r="45" spans="1:21" x14ac:dyDescent="0.25">
      <c r="A45" s="23" t="s">
        <v>71</v>
      </c>
      <c r="B45" s="51">
        <f ca="1">SUMIFS(OFFSET(Persistance!$K:$K,0,$A$2-Persistance!$K$1),Persistance!$B:$B,$A45,Persistance!$D:$D,B$5,Persistance!$A:$A,"Business")*1000</f>
        <v>0</v>
      </c>
      <c r="C45" s="51">
        <f ca="1">SUMIFS(OFFSET(Persistance!$K:$K,0,$A$2-Persistance!$K$1),Persistance!$B:$B,$A45,Persistance!$D:$D,C$5,Persistance!$A:$A,"Business")*1000</f>
        <v>0</v>
      </c>
      <c r="D45" s="51">
        <f ca="1">SUMIFS(OFFSET(Persistance!$K:$K,0,$A$2-Persistance!$K$1),Persistance!$B:$B,$A45,Persistance!$D:$D,D$5,Persistance!$A:$A,"Business")*1000</f>
        <v>0</v>
      </c>
      <c r="E45" s="51">
        <f ca="1">SUMIFS(OFFSET(Persistance!$K:$K,0,$A$2-Persistance!$K$1),Persistance!$B:$B,$A45,Persistance!$D:$D,E$5,Persistance!$A:$A,"Business")*1000</f>
        <v>0</v>
      </c>
      <c r="F45" s="51">
        <f ca="1">SUMIFS(OFFSET(Persistance!$K:$K,0,$A$2-Persistance!$K$1),Persistance!$B:$B,$A45,Persistance!$D:$D,F$5,Persistance!$A:$A,"Business")*1000</f>
        <v>0</v>
      </c>
      <c r="G45" s="51">
        <f ca="1">SUMIFS(OFFSET(Persistance!$K:$K,0,$A$2-Persistance!$K$1),Persistance!$B:$B,$A45,Persistance!$D:$D,G$5,Persistance!$A:$A,"Business")*1000</f>
        <v>0</v>
      </c>
      <c r="H45" s="51">
        <f ca="1">SUMIFS(OFFSET(Persistance!$K:$K,0,$A$2-Persistance!$K$1),Persistance!$B:$B,$A45,Persistance!$D:$D,H$5,Persistance!$A:$A,"Business")*1000</f>
        <v>0</v>
      </c>
      <c r="I45" s="51">
        <f ca="1">SUMIFS(OFFSET(Persistance!$K:$K,0,$A$2-Persistance!$K$1),Persistance!$B:$B,$A45,Persistance!$D:$D,I$5,Persistance!$A:$A,"Business")*1000</f>
        <v>0</v>
      </c>
      <c r="J45" s="51">
        <f ca="1">SUMIFS(OFFSET(Persistance!$K:$K,0,$A$2-Persistance!$K$1),Persistance!$B:$B,$A45,Persistance!$D:$D,J$5,Persistance!$A:$A,"Business")*1000</f>
        <v>0</v>
      </c>
      <c r="K45" s="51">
        <f ca="1">SUMIFS(OFFSET(Persistance!$K:$K,0,$A$2-Persistance!$K$1),Persistance!$B:$B,$A45,Persistance!$D:$D,K$5,Persistance!$A:$A,"Business")*1000</f>
        <v>0</v>
      </c>
      <c r="L45" s="34">
        <f t="shared" ca="1" si="4"/>
        <v>0</v>
      </c>
      <c r="M45" s="34"/>
      <c r="N45" s="34"/>
      <c r="O45" s="36"/>
      <c r="P45" s="36"/>
      <c r="Q45" s="36"/>
      <c r="R45" s="2"/>
      <c r="S45" s="2"/>
      <c r="T45" s="2"/>
      <c r="U45" s="2"/>
    </row>
    <row r="46" spans="1:21" x14ac:dyDescent="0.25">
      <c r="A46" s="23" t="s">
        <v>68</v>
      </c>
      <c r="B46" s="51">
        <f ca="1">SUMIFS(OFFSET(Persistance!$K:$K,0,$A$2-Persistance!$K$1),Persistance!$B:$B,$A46,Persistance!$D:$D,B$5,Persistance!$A:$A,"Business")*1000</f>
        <v>0</v>
      </c>
      <c r="C46" s="51">
        <f ca="1">SUMIFS(OFFSET(Persistance!$K:$K,0,$A$2-Persistance!$K$1),Persistance!$B:$B,$A46,Persistance!$D:$D,C$5,Persistance!$A:$A,"Business")*1000</f>
        <v>0</v>
      </c>
      <c r="D46" s="51">
        <f ca="1">SUMIFS(OFFSET(Persistance!$K:$K,0,$A$2-Persistance!$K$1),Persistance!$B:$B,$A46,Persistance!$D:$D,D$5,Persistance!$A:$A,"Business")*1000</f>
        <v>0</v>
      </c>
      <c r="E46" s="51">
        <f ca="1">SUMIFS(OFFSET(Persistance!$K:$K,0,$A$2-Persistance!$K$1),Persistance!$B:$B,$A46,Persistance!$D:$D,E$5,Persistance!$A:$A,"Business")*1000</f>
        <v>0</v>
      </c>
      <c r="F46" s="51">
        <f ca="1">SUMIFS(OFFSET(Persistance!$K:$K,0,$A$2-Persistance!$K$1),Persistance!$B:$B,$A46,Persistance!$D:$D,F$5,Persistance!$A:$A,"Business")*1000</f>
        <v>0</v>
      </c>
      <c r="G46" s="51">
        <f ca="1">SUMIFS(OFFSET(Persistance!$K:$K,0,$A$2-Persistance!$K$1),Persistance!$B:$B,$A46,Persistance!$D:$D,G$5,Persistance!$A:$A,"Business")*1000</f>
        <v>0</v>
      </c>
      <c r="H46" s="51">
        <f ca="1">SUMIFS(OFFSET(Persistance!$K:$K,0,$A$2-Persistance!$K$1),Persistance!$B:$B,$A46,Persistance!$D:$D,H$5,Persistance!$A:$A,"Business")*1000</f>
        <v>0</v>
      </c>
      <c r="I46" s="51">
        <f ca="1">SUMIFS(OFFSET(Persistance!$K:$K,0,$A$2-Persistance!$K$1),Persistance!$B:$B,$A46,Persistance!$D:$D,I$5,Persistance!$A:$A,"Business")*1000</f>
        <v>0</v>
      </c>
      <c r="J46" s="51">
        <f ca="1">SUMIFS(OFFSET(Persistance!$K:$K,0,$A$2-Persistance!$K$1),Persistance!$B:$B,$A46,Persistance!$D:$D,J$5,Persistance!$A:$A,"Business")*1000</f>
        <v>0</v>
      </c>
      <c r="K46" s="51">
        <f ca="1">SUMIFS(OFFSET(Persistance!$K:$K,0,$A$2-Persistance!$K$1),Persistance!$B:$B,$A46,Persistance!$D:$D,K$5,Persistance!$A:$A,"Business")*1000</f>
        <v>0</v>
      </c>
      <c r="L46" s="34">
        <f t="shared" ca="1" si="4"/>
        <v>0</v>
      </c>
      <c r="M46" s="34"/>
      <c r="N46" s="34"/>
      <c r="O46" s="36"/>
      <c r="P46" s="36"/>
      <c r="Q46" s="36"/>
      <c r="R46" s="2"/>
      <c r="S46" s="2"/>
      <c r="T46" s="2"/>
      <c r="U46" s="2"/>
    </row>
    <row r="47" spans="1:21" x14ac:dyDescent="0.25">
      <c r="A47" s="23" t="s">
        <v>14</v>
      </c>
      <c r="B47" s="51">
        <f ca="1">SUMIFS(OFFSET(Persistance!$K:$K,0,$A$2-Persistance!$K$1),Persistance!$B:$B,$A47,Persistance!$D:$D,B$5)*1000*'Retrofit Split'!B$2</f>
        <v>170338.15455047225</v>
      </c>
      <c r="C47" s="51">
        <f ca="1">SUMIFS(OFFSET(Persistance!$K:$K,0,$A$2-Persistance!$K$1),Persistance!$B:$B,$A47,Persistance!$D:$D,C$5)*1000*'Retrofit Split'!C$2</f>
        <v>0</v>
      </c>
      <c r="D47" s="51">
        <f ca="1">SUMIFS(OFFSET(Persistance!$K:$K,0,$A$2-Persistance!$K$1),Persistance!$B:$B,$A47,Persistance!$D:$D,D$5)*1000*'Retrofit Split'!D$2</f>
        <v>29469.00905372058</v>
      </c>
      <c r="E47" s="51">
        <f ca="1">SUMIFS(OFFSET(Persistance!$K:$K,0,$A$2-Persistance!$K$1),Persistance!$B:$B,$A47,Persistance!$D:$D,E$5)*1000*'Retrofit Split'!E$2</f>
        <v>15020.180532005492</v>
      </c>
      <c r="F47" s="51">
        <f ca="1">SUMIFS(OFFSET(Persistance!$K:$K,0,$A$2-Persistance!$K$1),Persistance!$B:$B,$A47,Persistance!$D:$D,F$5)*1000*'Retrofit Split'!F$2</f>
        <v>0</v>
      </c>
      <c r="G47" s="51">
        <f ca="1">SUMIFS(OFFSET(Persistance!$K:$K,0,$A$2-Persistance!$K$1),Persistance!$B:$B,$A47,Persistance!$D:$D,G$5)*1000*'Retrofit Split'!G$2</f>
        <v>0</v>
      </c>
      <c r="H47" s="51">
        <f ca="1">SUMIFS(OFFSET(Persistance!$K:$K,0,$A$2-Persistance!$K$1),Persistance!$B:$B,$A47,Persistance!$D:$D,H$5)*1000*'Retrofit Split'!H$2</f>
        <v>0</v>
      </c>
      <c r="I47" s="51">
        <f ca="1">SUMIFS(OFFSET(Persistance!$K:$K,0,$A$2-Persistance!$K$1),Persistance!$B:$B,$A47,Persistance!$D:$D,I$5)*1000*'Retrofit Split'!I$2</f>
        <v>0</v>
      </c>
      <c r="J47" s="51">
        <f ca="1">SUMIFS(OFFSET(Persistance!$K:$K,0,$A$2-Persistance!$K$1),Persistance!$B:$B,$A47,Persistance!$D:$D,J$5)*1000*'Retrofit Split'!J$2</f>
        <v>0</v>
      </c>
      <c r="K47" s="51">
        <f ca="1">SUMIFS(OFFSET(Persistance!$K:$K,0,$A$2-Persistance!$K$1),Persistance!$B:$B,$A47,Persistance!$D:$D,K$5)*1000*'Retrofit Split'!K$2</f>
        <v>0</v>
      </c>
      <c r="L47" s="34">
        <f t="shared" ca="1" si="4"/>
        <v>214827.34413619831</v>
      </c>
      <c r="M47" s="34"/>
      <c r="N47" s="34"/>
      <c r="O47" s="36"/>
      <c r="P47" s="36"/>
      <c r="Q47" s="36"/>
      <c r="R47" s="2"/>
      <c r="S47" s="2"/>
      <c r="T47" s="2"/>
      <c r="U47" s="2"/>
    </row>
    <row r="48" spans="1:21" x14ac:dyDescent="0.25">
      <c r="A48" s="23" t="s">
        <v>72</v>
      </c>
      <c r="B48" s="51">
        <f ca="1">SUMIFS(OFFSET(Persistance!$K:$K,0,$A$2-Persistance!$K$1),Persistance!$B:$B,$A48,Persistance!$D:$D,B$5,Persistance!$A:$A,"Business")*1000</f>
        <v>0</v>
      </c>
      <c r="C48" s="51">
        <f ca="1">SUMIFS(OFFSET(Persistance!$K:$K,0,$A$2-Persistance!$K$1),Persistance!$B:$B,$A48,Persistance!$D:$D,C$5,Persistance!$A:$A,"Business")*1000</f>
        <v>5639.5002500600003</v>
      </c>
      <c r="D48" s="51">
        <f ca="1">SUMIFS(OFFSET(Persistance!$K:$K,0,$A$2-Persistance!$K$1),Persistance!$B:$B,$A48,Persistance!$D:$D,D$5,Persistance!$A:$A,"Business")*1000</f>
        <v>11130.380258458001</v>
      </c>
      <c r="E48" s="51">
        <f ca="1">SUMIFS(OFFSET(Persistance!$K:$K,0,$A$2-Persistance!$K$1),Persistance!$B:$B,$A48,Persistance!$D:$D,E$5,Persistance!$A:$A,"Business")*1000</f>
        <v>0</v>
      </c>
      <c r="F48" s="51">
        <f ca="1">SUMIFS(OFFSET(Persistance!$K:$K,0,$A$2-Persistance!$K$1),Persistance!$B:$B,$A48,Persistance!$D:$D,F$5,Persistance!$A:$A,"Business")*1000</f>
        <v>0</v>
      </c>
      <c r="G48" s="51">
        <f ca="1">SUMIFS(OFFSET(Persistance!$K:$K,0,$A$2-Persistance!$K$1),Persistance!$B:$B,$A48,Persistance!$D:$D,G$5,Persistance!$A:$A,"Business")*1000</f>
        <v>0</v>
      </c>
      <c r="H48" s="51">
        <f ca="1">SUMIFS(OFFSET(Persistance!$K:$K,0,$A$2-Persistance!$K$1),Persistance!$B:$B,$A48,Persistance!$D:$D,H$5,Persistance!$A:$A,"Business")*1000</f>
        <v>0</v>
      </c>
      <c r="I48" s="51">
        <f ca="1">SUMIFS(OFFSET(Persistance!$K:$K,0,$A$2-Persistance!$K$1),Persistance!$B:$B,$A48,Persistance!$D:$D,I$5,Persistance!$A:$A,"Business")*1000</f>
        <v>0</v>
      </c>
      <c r="J48" s="51">
        <f ca="1">SUMIFS(OFFSET(Persistance!$K:$K,0,$A$2-Persistance!$K$1),Persistance!$B:$B,$A48,Persistance!$D:$D,J$5,Persistance!$A:$A,"Business")*1000</f>
        <v>0</v>
      </c>
      <c r="K48" s="51">
        <f ca="1">SUMIFS(OFFSET(Persistance!$K:$K,0,$A$2-Persistance!$K$1),Persistance!$B:$B,$A48,Persistance!$D:$D,K$5,Persistance!$A:$A,"Business")*1000</f>
        <v>0</v>
      </c>
      <c r="L48" s="34">
        <f t="shared" ca="1" si="4"/>
        <v>16769.880508517999</v>
      </c>
      <c r="M48" s="34"/>
      <c r="N48" s="34"/>
      <c r="O48" s="36"/>
      <c r="P48" s="36"/>
      <c r="Q48" s="36"/>
      <c r="R48" s="2"/>
      <c r="S48" s="2"/>
      <c r="T48" s="2"/>
      <c r="U48" s="2"/>
    </row>
    <row r="49" spans="1:21" x14ac:dyDescent="0.25">
      <c r="A49" s="23" t="s">
        <v>35</v>
      </c>
      <c r="B49" s="51">
        <f ca="1">SUMIFS(OFFSET(Persistance!$K:$K,0,$A$2-Persistance!$K$1),Persistance!$B:$B,$A49,Persistance!$D:$D,B$5,Persistance!$A:$A,"Business")*1000</f>
        <v>0</v>
      </c>
      <c r="C49" s="51">
        <f ca="1">SUMIFS(OFFSET(Persistance!$K:$K,0,$A$2-Persistance!$K$1),Persistance!$B:$B,$A49,Persistance!$D:$D,C$5,Persistance!$A:$A,"Business")*1000</f>
        <v>0</v>
      </c>
      <c r="D49" s="51">
        <f ca="1">SUMIFS(OFFSET(Persistance!$K:$K,0,$A$2-Persistance!$K$1),Persistance!$B:$B,$A49,Persistance!$D:$D,D$5,Persistance!$A:$A,"Business")*1000</f>
        <v>0</v>
      </c>
      <c r="E49" s="51">
        <f ca="1">SUMIFS(OFFSET(Persistance!$K:$K,0,$A$2-Persistance!$K$1),Persistance!$B:$B,$A49,Persistance!$D:$D,E$5,Persistance!$A:$A,"Business")*1000</f>
        <v>0</v>
      </c>
      <c r="F49" s="51">
        <f ca="1">SUMIFS(OFFSET(Persistance!$K:$K,0,$A$2-Persistance!$K$1),Persistance!$B:$B,$A49,Persistance!$D:$D,F$5,Persistance!$A:$A,"Business")*1000</f>
        <v>0</v>
      </c>
      <c r="G49" s="51">
        <f ca="1">SUMIFS(OFFSET(Persistance!$K:$K,0,$A$2-Persistance!$K$1),Persistance!$B:$B,$A49,Persistance!$D:$D,G$5,Persistance!$A:$A,"Business")*1000</f>
        <v>0</v>
      </c>
      <c r="H49" s="51">
        <f ca="1">SUMIFS(OFFSET(Persistance!$K:$K,0,$A$2-Persistance!$K$1),Persistance!$B:$B,$A49,Persistance!$D:$D,H$5,Persistance!$A:$A,"Business")*1000</f>
        <v>0</v>
      </c>
      <c r="I49" s="51">
        <f ca="1">SUMIFS(OFFSET(Persistance!$K:$K,0,$A$2-Persistance!$K$1),Persistance!$B:$B,$A49,Persistance!$D:$D,I$5,Persistance!$A:$A,"Business")*1000</f>
        <v>0</v>
      </c>
      <c r="J49" s="51">
        <f ca="1">SUMIFS(OFFSET(Persistance!$K:$K,0,$A$2-Persistance!$K$1),Persistance!$B:$B,$A49,Persistance!$D:$D,J$5,Persistance!$A:$A,"Business")*1000</f>
        <v>0</v>
      </c>
      <c r="K49" s="51">
        <f ca="1">SUMIFS(OFFSET(Persistance!$K:$K,0,$A$2-Persistance!$K$1),Persistance!$B:$B,$A49,Persistance!$D:$D,K$5,Persistance!$A:$A,"Business")*1000</f>
        <v>0</v>
      </c>
      <c r="L49" s="34">
        <f t="shared" ca="1" si="4"/>
        <v>0</v>
      </c>
      <c r="M49" s="34"/>
      <c r="N49" s="34"/>
      <c r="O49" s="36"/>
      <c r="P49" s="36"/>
      <c r="Q49" s="36"/>
      <c r="R49" s="2"/>
      <c r="S49" s="28" t="s">
        <v>48</v>
      </c>
      <c r="T49" s="28" t="s">
        <v>17</v>
      </c>
      <c r="U49" s="2" t="s">
        <v>49</v>
      </c>
    </row>
    <row r="50" spans="1:21" x14ac:dyDescent="0.25">
      <c r="B50" s="29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5"/>
      <c r="O50" s="36"/>
      <c r="P50" s="36"/>
      <c r="Q50" s="36"/>
      <c r="R50" s="2"/>
      <c r="S50" s="29">
        <f ca="1">$A$2</f>
        <v>2014</v>
      </c>
      <c r="T50" s="50">
        <f ca="1">AVERAGEIFS(Rates!E:E,Rates!F:F,'2014'!S50,Rates!G:G,"Business")</f>
        <v>9.1000000000000004E-3</v>
      </c>
      <c r="U50" s="30">
        <f ca="1">AVERAGEIFS(Rates!B:B,Rates!F:F,'2014'!S50,Rates!G:G,"Business")</f>
        <v>41760</v>
      </c>
    </row>
    <row r="51" spans="1:21" x14ac:dyDescent="0.25">
      <c r="A51" t="s">
        <v>10</v>
      </c>
      <c r="B51" s="64">
        <f t="shared" ref="B51:L51" ca="1" si="5">SUM(B32:B50)</f>
        <v>459195.88209490164</v>
      </c>
      <c r="C51" s="64">
        <f t="shared" ca="1" si="5"/>
        <v>329440.35870498896</v>
      </c>
      <c r="D51" s="64">
        <f t="shared" ca="1" si="5"/>
        <v>40599.38931217858</v>
      </c>
      <c r="E51" s="64">
        <f t="shared" ca="1" si="5"/>
        <v>284197.34073200548</v>
      </c>
      <c r="F51" s="64">
        <f t="shared" ca="1" si="5"/>
        <v>0</v>
      </c>
      <c r="G51" s="64">
        <f t="shared" ca="1" si="5"/>
        <v>0</v>
      </c>
      <c r="H51" s="64">
        <f t="shared" ca="1" si="5"/>
        <v>0</v>
      </c>
      <c r="I51" s="64">
        <f t="shared" ca="1" si="5"/>
        <v>0</v>
      </c>
      <c r="J51" s="64">
        <f t="shared" ca="1" si="5"/>
        <v>0</v>
      </c>
      <c r="K51" s="64">
        <f t="shared" ca="1" si="5"/>
        <v>0</v>
      </c>
      <c r="L51" s="64">
        <f t="shared" ca="1" si="5"/>
        <v>1113432.9708440746</v>
      </c>
      <c r="M51" s="64">
        <f>Summary!$H$7</f>
        <v>232046</v>
      </c>
      <c r="N51" s="64">
        <f ca="1">(((MONTH(U50)-1)/12)*T51)+(((12-(MONTH(U50)-1))/12)*T50)</f>
        <v>9.0666666666666656E-3</v>
      </c>
      <c r="O51" s="64">
        <f ca="1">ROUND(L51*N51,2)</f>
        <v>10095.129999999999</v>
      </c>
      <c r="P51" s="64">
        <f ca="1">ROUND(M51*N51,2)</f>
        <v>2103.88</v>
      </c>
      <c r="Q51" s="64">
        <f ca="1">+O51-P51</f>
        <v>7991.2499999999991</v>
      </c>
      <c r="R51" s="2"/>
      <c r="S51" s="29">
        <f ca="1">S50-1</f>
        <v>2013</v>
      </c>
      <c r="T51" s="50">
        <f ca="1">AVERAGEIFS(Rates!E:E,Rates!F:F,'2014'!S51,Rates!G:G,"Business")</f>
        <v>8.9999999999999993E-3</v>
      </c>
      <c r="U51" s="2"/>
    </row>
    <row r="52" spans="1:21" x14ac:dyDescent="0.25">
      <c r="B52" s="29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5"/>
      <c r="O52" s="36"/>
      <c r="P52" s="36"/>
      <c r="Q52" s="36"/>
      <c r="R52" s="2"/>
      <c r="S52" s="2"/>
      <c r="T52" s="2"/>
      <c r="U52" s="2"/>
    </row>
    <row r="53" spans="1:21" x14ac:dyDescent="0.25">
      <c r="A53" t="s">
        <v>43</v>
      </c>
      <c r="B53" s="51">
        <f ca="1">SUMIFS(OFFSET(Persistance!$F:$F,0,$A$2-Persistance!$K$1),Persistance!$B:$B,'2014'!$A53,Persistance!$D:$D,'2014'!B$5,Persistance!$A:$A,"Industrial")*1000</f>
        <v>0</v>
      </c>
      <c r="C53" s="51">
        <f ca="1">SUMIFS(OFFSET(Persistance!$F:$F,0,$A$2-Persistance!$K$1),Persistance!$B:$B,'2014'!$A53,Persistance!$D:$D,'2014'!C$5,Persistance!$A:$A,"Industrial")*1000</f>
        <v>0</v>
      </c>
      <c r="D53" s="51">
        <f ca="1">SUMIFS(OFFSET(Persistance!$F:$F,0,$A$2-Persistance!$K$1),Persistance!$B:$B,'2014'!$A53,Persistance!$D:$D,'2014'!D$5,Persistance!$A:$A,"Industrial")*1000</f>
        <v>0</v>
      </c>
      <c r="E53" s="51">
        <f ca="1">SUMIFS(OFFSET(Persistance!$F:$F,0,$A$2-Persistance!$K$1),Persistance!$B:$B,'2014'!$A53,Persistance!$D:$D,'2014'!E$5,Persistance!$A:$A,"Industrial")*1000</f>
        <v>64.169619999999995</v>
      </c>
      <c r="F53" s="51">
        <f ca="1">SUMIFS(OFFSET(Persistance!$F:$F,0,$A$2-Persistance!$K$1),Persistance!$B:$B,'2014'!$A53,Persistance!$D:$D,'2014'!F$5,Persistance!$A:$A,"Industrial")*1000</f>
        <v>0</v>
      </c>
      <c r="G53" s="51">
        <f ca="1">SUMIFS(OFFSET(Persistance!$F:$F,0,$A$2-Persistance!$K$1),Persistance!$B:$B,'2014'!$A53,Persistance!$D:$D,'2014'!G$5,Persistance!$A:$A,"Industrial")*1000</f>
        <v>0</v>
      </c>
      <c r="H53" s="51">
        <f ca="1">SUMIFS(OFFSET(Persistance!$F:$F,0,$A$2-Persistance!$K$1),Persistance!$B:$B,'2014'!$A53,Persistance!$D:$D,'2014'!H$5,Persistance!$A:$A,"Industrial")*1000</f>
        <v>0</v>
      </c>
      <c r="I53" s="51">
        <f ca="1">SUMIFS(OFFSET(Persistance!$F:$F,0,$A$2-Persistance!$K$1),Persistance!$B:$B,'2014'!$A53,Persistance!$D:$D,'2014'!I$5,Persistance!$A:$A,"Industrial")*1000</f>
        <v>0</v>
      </c>
      <c r="J53" s="51">
        <f ca="1">SUMIFS(OFFSET(Persistance!$F:$F,0,$A$2-Persistance!$K$1),Persistance!$B:$B,'2014'!$A53,Persistance!$D:$D,'2014'!J$5,Persistance!$A:$A,"Industrial")*1000</f>
        <v>0</v>
      </c>
      <c r="K53" s="51">
        <f ca="1">SUMIFS(OFFSET(Persistance!$F:$F,0,$A$2-Persistance!$K$1),Persistance!$B:$B,'2014'!$A53,Persistance!$D:$D,'2014'!K$5,Persistance!$A:$A,"Industrial")*1000</f>
        <v>0</v>
      </c>
      <c r="L53" s="34">
        <v>0</v>
      </c>
      <c r="M53" s="52" t="s">
        <v>87</v>
      </c>
      <c r="N53" s="35"/>
      <c r="O53" s="36"/>
      <c r="P53" s="36"/>
      <c r="Q53" s="36"/>
      <c r="R53" s="2"/>
      <c r="S53" s="2"/>
      <c r="T53" s="2"/>
      <c r="U53" s="2"/>
    </row>
    <row r="54" spans="1:21" x14ac:dyDescent="0.25">
      <c r="A54" t="s">
        <v>41</v>
      </c>
      <c r="B54" s="51">
        <f ca="1">SUMIFS(OFFSET(Persistance!$F:$F,0,$A$2-Persistance!$K$1),Persistance!$B:$B,'2014'!$A54,Persistance!$D:$D,'2014'!B$5,Persistance!$A:$A,"Industrial")*1000</f>
        <v>0</v>
      </c>
      <c r="C54" s="51">
        <f ca="1">SUMIFS(OFFSET(Persistance!$F:$F,0,$A$2-Persistance!$K$1),Persistance!$B:$B,'2014'!$A54,Persistance!$D:$D,'2014'!C$5,Persistance!$A:$A,"Industrial")*1000</f>
        <v>0</v>
      </c>
      <c r="D54" s="51">
        <f ca="1">SUMIFS(OFFSET(Persistance!$F:$F,0,$A$2-Persistance!$K$1),Persistance!$B:$B,'2014'!$A54,Persistance!$D:$D,'2014'!D$5,Persistance!$A:$A,"Industrial")*1000</f>
        <v>0</v>
      </c>
      <c r="E54" s="51">
        <f ca="1">SUMIFS(OFFSET(Persistance!$F:$F,0,$A$2-Persistance!$K$1),Persistance!$B:$B,'2014'!$A54,Persistance!$D:$D,'2014'!E$5,Persistance!$A:$A,"Industrial")*1000</f>
        <v>0</v>
      </c>
      <c r="F54" s="51">
        <f ca="1">SUMIFS(OFFSET(Persistance!$F:$F,0,$A$2-Persistance!$K$1),Persistance!$B:$B,'2014'!$A54,Persistance!$D:$D,'2014'!F$5,Persistance!$A:$A,"Industrial")*1000</f>
        <v>0</v>
      </c>
      <c r="G54" s="51">
        <f ca="1">SUMIFS(OFFSET(Persistance!$F:$F,0,$A$2-Persistance!$K$1),Persistance!$B:$B,'2014'!$A54,Persistance!$D:$D,'2014'!G$5,Persistance!$A:$A,"Industrial")*1000</f>
        <v>0</v>
      </c>
      <c r="H54" s="51">
        <f ca="1">SUMIFS(OFFSET(Persistance!$F:$F,0,$A$2-Persistance!$K$1),Persistance!$B:$B,'2014'!$A54,Persistance!$D:$D,'2014'!H$5,Persistance!$A:$A,"Industrial")*1000</f>
        <v>0</v>
      </c>
      <c r="I54" s="51">
        <f ca="1">SUMIFS(OFFSET(Persistance!$F:$F,0,$A$2-Persistance!$K$1),Persistance!$B:$B,'2014'!$A54,Persistance!$D:$D,'2014'!I$5,Persistance!$A:$A,"Industrial")*1000</f>
        <v>0</v>
      </c>
      <c r="J54" s="51">
        <f ca="1">SUMIFS(OFFSET(Persistance!$F:$F,0,$A$2-Persistance!$K$1),Persistance!$B:$B,'2014'!$A54,Persistance!$D:$D,'2014'!J$5,Persistance!$A:$A,"Industrial")*1000</f>
        <v>0</v>
      </c>
      <c r="K54" s="51">
        <f ca="1">SUMIFS(OFFSET(Persistance!$F:$F,0,$A$2-Persistance!$K$1),Persistance!$B:$B,'2014'!$A54,Persistance!$D:$D,'2014'!K$5,Persistance!$A:$A,"Industrial")*1000</f>
        <v>0</v>
      </c>
      <c r="L54" s="34">
        <v>0</v>
      </c>
      <c r="M54" s="52" t="s">
        <v>87</v>
      </c>
      <c r="N54" s="35"/>
      <c r="O54" s="36"/>
      <c r="P54" s="36"/>
      <c r="Q54" s="36"/>
      <c r="R54" s="2"/>
      <c r="S54" s="2"/>
      <c r="T54" s="2"/>
      <c r="U54" s="2"/>
    </row>
    <row r="55" spans="1:21" x14ac:dyDescent="0.25">
      <c r="A55" t="s">
        <v>58</v>
      </c>
      <c r="B55" s="51">
        <f ca="1">SUMIFS(OFFSET(Persistance!$F:$F,0,$A$2-Persistance!$K$1),Persistance!$B:$B,'2014'!$A55,Persistance!$D:$D,'2014'!B$5,Persistance!$A:$A,"Industrial")*1000</f>
        <v>0</v>
      </c>
      <c r="C55" s="51">
        <f ca="1">SUMIFS(OFFSET(Persistance!$F:$F,0,$A$2-Persistance!$K$1),Persistance!$B:$B,'2014'!$A55,Persistance!$D:$D,'2014'!C$5,Persistance!$A:$A,"Industrial")*1000</f>
        <v>0</v>
      </c>
      <c r="D55" s="51">
        <f ca="1">SUMIFS(OFFSET(Persistance!$F:$F,0,$A$2-Persistance!$K$1),Persistance!$B:$B,'2014'!$A55,Persistance!$D:$D,'2014'!D$5,Persistance!$A:$A,"Industrial")*1000</f>
        <v>0</v>
      </c>
      <c r="E55" s="51">
        <f ca="1">SUMIFS(OFFSET(Persistance!$F:$F,0,$A$2-Persistance!$K$1),Persistance!$B:$B,'2014'!$A55,Persistance!$D:$D,'2014'!E$5,Persistance!$A:$A,"Industrial")*1000</f>
        <v>0</v>
      </c>
      <c r="F55" s="51">
        <f ca="1">SUMIFS(OFFSET(Persistance!$F:$F,0,$A$2-Persistance!$K$1),Persistance!$B:$B,'2014'!$A55,Persistance!$D:$D,'2014'!F$5,Persistance!$A:$A,"Industrial")*1000</f>
        <v>0</v>
      </c>
      <c r="G55" s="51">
        <f ca="1">SUMIFS(OFFSET(Persistance!$F:$F,0,$A$2-Persistance!$K$1),Persistance!$B:$B,'2014'!$A55,Persistance!$D:$D,'2014'!G$5,Persistance!$A:$A,"Industrial")*1000</f>
        <v>0</v>
      </c>
      <c r="H55" s="51">
        <f ca="1">SUMIFS(OFFSET(Persistance!$F:$F,0,$A$2-Persistance!$K$1),Persistance!$B:$B,'2014'!$A55,Persistance!$D:$D,'2014'!H$5,Persistance!$A:$A,"Industrial")*1000</f>
        <v>0</v>
      </c>
      <c r="I55" s="51">
        <f ca="1">SUMIFS(OFFSET(Persistance!$F:$F,0,$A$2-Persistance!$K$1),Persistance!$B:$B,'2014'!$A55,Persistance!$D:$D,'2014'!I$5,Persistance!$A:$A,"Industrial")*1000</f>
        <v>0</v>
      </c>
      <c r="J55" s="51">
        <f ca="1">SUMIFS(OFFSET(Persistance!$F:$F,0,$A$2-Persistance!$K$1),Persistance!$B:$B,'2014'!$A55,Persistance!$D:$D,'2014'!J$5,Persistance!$A:$A,"Industrial")*1000</f>
        <v>0</v>
      </c>
      <c r="K55" s="51">
        <f ca="1">SUMIFS(OFFSET(Persistance!$F:$F,0,$A$2-Persistance!$K$1),Persistance!$B:$B,'2014'!$A55,Persistance!$D:$D,'2014'!K$5,Persistance!$A:$A,"Industrial")*1000</f>
        <v>0</v>
      </c>
      <c r="L55" s="34">
        <f ca="1">SUM(B55:K55)*3</f>
        <v>0</v>
      </c>
      <c r="M55" s="52" t="s">
        <v>88</v>
      </c>
      <c r="N55" s="35"/>
      <c r="O55" s="36"/>
      <c r="P55" s="36"/>
      <c r="Q55" s="36"/>
      <c r="R55" s="2"/>
      <c r="S55" s="2"/>
      <c r="T55" s="2"/>
      <c r="U55" s="2"/>
    </row>
    <row r="56" spans="1:21" x14ac:dyDescent="0.25">
      <c r="A56" t="s">
        <v>55</v>
      </c>
      <c r="B56" s="51">
        <f ca="1">SUMIFS(OFFSET(Persistance!$F:$F,0,$A$2-Persistance!$K$1),Persistance!$B:$B,'2014'!$A56,Persistance!$D:$D,'2014'!B$5,Persistance!$A:$A,"Industrial")*1000</f>
        <v>0</v>
      </c>
      <c r="C56" s="51">
        <f ca="1">SUMIFS(OFFSET(Persistance!$F:$F,0,$A$2-Persistance!$K$1),Persistance!$B:$B,'2014'!$A56,Persistance!$D:$D,'2014'!C$5,Persistance!$A:$A,"Industrial")*1000</f>
        <v>0</v>
      </c>
      <c r="D56" s="51">
        <f ca="1">SUMIFS(OFFSET(Persistance!$F:$F,0,$A$2-Persistance!$K$1),Persistance!$B:$B,'2014'!$A56,Persistance!$D:$D,'2014'!D$5,Persistance!$A:$A,"Industrial")*1000</f>
        <v>0</v>
      </c>
      <c r="E56" s="51">
        <f ca="1">SUMIFS(OFFSET(Persistance!$F:$F,0,$A$2-Persistance!$K$1),Persistance!$B:$B,'2014'!$A56,Persistance!$D:$D,'2014'!E$5,Persistance!$A:$A,"Industrial")*1000</f>
        <v>0</v>
      </c>
      <c r="F56" s="51">
        <f ca="1">SUMIFS(OFFSET(Persistance!$F:$F,0,$A$2-Persistance!$K$1),Persistance!$B:$B,'2014'!$A56,Persistance!$D:$D,'2014'!F$5,Persistance!$A:$A,"Industrial")*1000</f>
        <v>0</v>
      </c>
      <c r="G56" s="51">
        <f ca="1">SUMIFS(OFFSET(Persistance!$F:$F,0,$A$2-Persistance!$K$1),Persistance!$B:$B,'2014'!$A56,Persistance!$D:$D,'2014'!G$5,Persistance!$A:$A,"Industrial")*1000</f>
        <v>0</v>
      </c>
      <c r="H56" s="51">
        <f ca="1">SUMIFS(OFFSET(Persistance!$F:$F,0,$A$2-Persistance!$K$1),Persistance!$B:$B,'2014'!$A56,Persistance!$D:$D,'2014'!H$5,Persistance!$A:$A,"Industrial")*1000</f>
        <v>0</v>
      </c>
      <c r="I56" s="51">
        <f ca="1">SUMIFS(OFFSET(Persistance!$F:$F,0,$A$2-Persistance!$K$1),Persistance!$B:$B,'2014'!$A56,Persistance!$D:$D,'2014'!I$5,Persistance!$A:$A,"Industrial")*1000</f>
        <v>0</v>
      </c>
      <c r="J56" s="51">
        <f ca="1">SUMIFS(OFFSET(Persistance!$F:$F,0,$A$2-Persistance!$K$1),Persistance!$B:$B,'2014'!$A56,Persistance!$D:$D,'2014'!J$5,Persistance!$A:$A,"Industrial")*1000</f>
        <v>0</v>
      </c>
      <c r="K56" s="51">
        <f ca="1">SUMIFS(OFFSET(Persistance!$F:$F,0,$A$2-Persistance!$K$1),Persistance!$B:$B,'2014'!$A56,Persistance!$D:$D,'2014'!K$5,Persistance!$A:$A,"Industrial")*1000</f>
        <v>0</v>
      </c>
      <c r="L56" s="34">
        <f t="shared" ref="L56:L57" ca="1" si="6">SUM(B56:K56)*12</f>
        <v>0</v>
      </c>
      <c r="M56" s="34"/>
      <c r="N56" s="35"/>
      <c r="O56" s="36"/>
      <c r="P56" s="36"/>
      <c r="Q56" s="36"/>
      <c r="R56" s="2"/>
      <c r="S56" s="2"/>
      <c r="T56" s="2"/>
      <c r="U56" s="2"/>
    </row>
    <row r="57" spans="1:21" x14ac:dyDescent="0.25">
      <c r="A57" t="s">
        <v>102</v>
      </c>
      <c r="B57" s="51">
        <f ca="1">SUMIFS(OFFSET(Persistance!$F:$F,0,$A$2-Persistance!$K$1),Persistance!$B:$B,'2014'!$A57,Persistance!$D:$D,'2014'!B$5,Persistance!$A:$A,"Industrial")*1000</f>
        <v>0</v>
      </c>
      <c r="C57" s="51">
        <f ca="1">SUMIFS(OFFSET(Persistance!$F:$F,0,$A$2-Persistance!$K$1),Persistance!$B:$B,'2014'!$A57,Persistance!$D:$D,'2014'!C$5,Persistance!$A:$A,"Industrial")*1000</f>
        <v>0</v>
      </c>
      <c r="D57" s="51">
        <f ca="1">SUMIFS(OFFSET(Persistance!$F:$F,0,$A$2-Persistance!$K$1),Persistance!$B:$B,'2014'!$A57,Persistance!$D:$D,'2014'!D$5,Persistance!$A:$A,"Industrial")*1000</f>
        <v>0.17749799999999999</v>
      </c>
      <c r="E57" s="51">
        <f ca="1">SUMIFS(OFFSET(Persistance!$F:$F,0,$A$2-Persistance!$K$1),Persistance!$B:$B,'2014'!$A57,Persistance!$D:$D,'2014'!E$5,Persistance!$A:$A,"Industrial")*1000</f>
        <v>0</v>
      </c>
      <c r="F57" s="51">
        <f ca="1">SUMIFS(OFFSET(Persistance!$F:$F,0,$A$2-Persistance!$K$1),Persistance!$B:$B,'2014'!$A57,Persistance!$D:$D,'2014'!F$5,Persistance!$A:$A,"Industrial")*1000</f>
        <v>0</v>
      </c>
      <c r="G57" s="51">
        <f ca="1">SUMIFS(OFFSET(Persistance!$F:$F,0,$A$2-Persistance!$K$1),Persistance!$B:$B,'2014'!$A57,Persistance!$D:$D,'2014'!G$5,Persistance!$A:$A,"Industrial")*1000</f>
        <v>0</v>
      </c>
      <c r="H57" s="51">
        <f ca="1">SUMIFS(OFFSET(Persistance!$F:$F,0,$A$2-Persistance!$K$1),Persistance!$B:$B,'2014'!$A57,Persistance!$D:$D,'2014'!H$5,Persistance!$A:$A,"Industrial")*1000</f>
        <v>0</v>
      </c>
      <c r="I57" s="51">
        <f ca="1">SUMIFS(OFFSET(Persistance!$F:$F,0,$A$2-Persistance!$K$1),Persistance!$B:$B,'2014'!$A57,Persistance!$D:$D,'2014'!I$5,Persistance!$A:$A,"Industrial")*1000</f>
        <v>0</v>
      </c>
      <c r="J57" s="51">
        <f ca="1">SUMIFS(OFFSET(Persistance!$F:$F,0,$A$2-Persistance!$K$1),Persistance!$B:$B,'2014'!$A57,Persistance!$D:$D,'2014'!J$5,Persistance!$A:$A,"Industrial")*1000</f>
        <v>0</v>
      </c>
      <c r="K57" s="51">
        <f ca="1">SUMIFS(OFFSET(Persistance!$F:$F,0,$A$2-Persistance!$K$1),Persistance!$B:$B,'2014'!$A57,Persistance!$D:$D,'2014'!K$5,Persistance!$A:$A,"Industrial")*1000</f>
        <v>0</v>
      </c>
      <c r="L57" s="34">
        <f t="shared" ca="1" si="6"/>
        <v>2.1299760000000001</v>
      </c>
      <c r="M57" s="34"/>
      <c r="N57" s="35"/>
      <c r="O57" s="36"/>
      <c r="P57" s="36"/>
      <c r="Q57" s="36"/>
      <c r="R57" s="2"/>
      <c r="S57" s="2"/>
      <c r="T57" s="2"/>
      <c r="U57" s="2"/>
    </row>
    <row r="58" spans="1:21" x14ac:dyDescent="0.25">
      <c r="A58" t="s">
        <v>63</v>
      </c>
      <c r="B58" s="51">
        <f ca="1">SUMIFS(OFFSET(Persistance!$F:$F,0,$A$2-Persistance!$K$1),Persistance!$B:$B,'2014'!$A58,Persistance!$D:$D,'2014'!B$5,Persistance!$A:$A,"Industrial")*1000</f>
        <v>0</v>
      </c>
      <c r="C58" s="51">
        <f ca="1">SUMIFS(OFFSET(Persistance!$F:$F,0,$A$2-Persistance!$K$1),Persistance!$B:$B,'2014'!$A58,Persistance!$D:$D,'2014'!C$5,Persistance!$A:$A,"Industrial")*1000</f>
        <v>0</v>
      </c>
      <c r="D58" s="51">
        <f ca="1">SUMIFS(OFFSET(Persistance!$F:$F,0,$A$2-Persistance!$K$1),Persistance!$B:$B,'2014'!$A58,Persistance!$D:$D,'2014'!D$5,Persistance!$A:$A,"Industrial")*1000</f>
        <v>0</v>
      </c>
      <c r="E58" s="51">
        <f ca="1">SUMIFS(OFFSET(Persistance!$F:$F,0,$A$2-Persistance!$K$1),Persistance!$B:$B,'2014'!$A58,Persistance!$D:$D,'2014'!E$5,Persistance!$A:$A,"Industrial")*1000</f>
        <v>0</v>
      </c>
      <c r="F58" s="51">
        <f ca="1">SUMIFS(OFFSET(Persistance!$F:$F,0,$A$2-Persistance!$K$1),Persistance!$B:$B,'2014'!$A58,Persistance!$D:$D,'2014'!F$5,Persistance!$A:$A,"Industrial")*1000</f>
        <v>0</v>
      </c>
      <c r="G58" s="51">
        <f ca="1">SUMIFS(OFFSET(Persistance!$F:$F,0,$A$2-Persistance!$K$1),Persistance!$B:$B,'2014'!$A58,Persistance!$D:$D,'2014'!G$5,Persistance!$A:$A,"Industrial")*1000</f>
        <v>0</v>
      </c>
      <c r="H58" s="51">
        <f ca="1">SUMIFS(OFFSET(Persistance!$F:$F,0,$A$2-Persistance!$K$1),Persistance!$B:$B,'2014'!$A58,Persistance!$D:$D,'2014'!H$5,Persistance!$A:$A,"Industrial")*1000</f>
        <v>0</v>
      </c>
      <c r="I58" s="51">
        <f ca="1">SUMIFS(OFFSET(Persistance!$F:$F,0,$A$2-Persistance!$K$1),Persistance!$B:$B,'2014'!$A58,Persistance!$D:$D,'2014'!I$5,Persistance!$A:$A,"Industrial")*1000</f>
        <v>0</v>
      </c>
      <c r="J58" s="51">
        <f ca="1">SUMIFS(OFFSET(Persistance!$F:$F,0,$A$2-Persistance!$K$1),Persistance!$B:$B,'2014'!$A58,Persistance!$D:$D,'2014'!J$5,Persistance!$A:$A,"Industrial")*1000</f>
        <v>0</v>
      </c>
      <c r="K58" s="51">
        <f ca="1">SUMIFS(OFFSET(Persistance!$F:$F,0,$A$2-Persistance!$K$1),Persistance!$B:$B,'2014'!$A58,Persistance!$D:$D,'2014'!K$5,Persistance!$A:$A,"Industrial")*1000</f>
        <v>0</v>
      </c>
      <c r="L58" s="34">
        <f ca="1">SUM(B58:K58)*12</f>
        <v>0</v>
      </c>
      <c r="M58" s="34"/>
      <c r="N58" s="35"/>
      <c r="O58" s="36"/>
      <c r="P58" s="36"/>
      <c r="Q58" s="36"/>
      <c r="R58" s="2"/>
      <c r="S58" s="2"/>
      <c r="T58" s="2"/>
      <c r="U58" s="2"/>
    </row>
    <row r="59" spans="1:21" x14ac:dyDescent="0.25">
      <c r="A59" t="s">
        <v>8</v>
      </c>
      <c r="B59" s="51">
        <f ca="1">SUMIFS(OFFSET(Persistance!$F:$F,0,$A$2-Persistance!$K$1),Persistance!$B:$B,'2014'!$A59,Persistance!$D:$D,'2014'!B$5,Persistance!$A:$A,"Industrial")*1000</f>
        <v>0</v>
      </c>
      <c r="C59" s="51">
        <f ca="1">SUMIFS(OFFSET(Persistance!$F:$F,0,$A$2-Persistance!$K$1),Persistance!$B:$B,'2014'!$A59,Persistance!$D:$D,'2014'!C$5,Persistance!$A:$A,"Industrial")*1000</f>
        <v>0</v>
      </c>
      <c r="D59" s="51">
        <f ca="1">SUMIFS(OFFSET(Persistance!$F:$F,0,$A$2-Persistance!$K$1),Persistance!$B:$B,'2014'!$A59,Persistance!$D:$D,'2014'!D$5,Persistance!$A:$A,"Industrial")*1000</f>
        <v>0</v>
      </c>
      <c r="E59" s="51">
        <f ca="1">SUMIFS(OFFSET(Persistance!$F:$F,0,$A$2-Persistance!$K$1),Persistance!$B:$B,'2014'!$A59,Persistance!$D:$D,'2014'!E$5,Persistance!$A:$A,"Industrial")*1000</f>
        <v>0</v>
      </c>
      <c r="F59" s="51">
        <f ca="1">SUMIFS(OFFSET(Persistance!$F:$F,0,$A$2-Persistance!$K$1),Persistance!$B:$B,'2014'!$A59,Persistance!$D:$D,'2014'!F$5,Persistance!$A:$A,"Industrial")*1000</f>
        <v>0</v>
      </c>
      <c r="G59" s="51">
        <f ca="1">SUMIFS(OFFSET(Persistance!$F:$F,0,$A$2-Persistance!$K$1),Persistance!$B:$B,'2014'!$A59,Persistance!$D:$D,'2014'!G$5,Persistance!$A:$A,"Industrial")*1000</f>
        <v>0</v>
      </c>
      <c r="H59" s="51">
        <f ca="1">SUMIFS(OFFSET(Persistance!$F:$F,0,$A$2-Persistance!$K$1),Persistance!$B:$B,'2014'!$A59,Persistance!$D:$D,'2014'!H$5,Persistance!$A:$A,"Industrial")*1000</f>
        <v>0</v>
      </c>
      <c r="I59" s="51">
        <f ca="1">SUMIFS(OFFSET(Persistance!$F:$F,0,$A$2-Persistance!$K$1),Persistance!$B:$B,'2014'!$A59,Persistance!$D:$D,'2014'!I$5,Persistance!$A:$A,"Industrial")*1000</f>
        <v>0</v>
      </c>
      <c r="J59" s="51">
        <f ca="1">SUMIFS(OFFSET(Persistance!$F:$F,0,$A$2-Persistance!$K$1),Persistance!$B:$B,'2014'!$A59,Persistance!$D:$D,'2014'!J$5,Persistance!$A:$A,"Industrial")*1000</f>
        <v>0</v>
      </c>
      <c r="K59" s="51">
        <f ca="1">SUMIFS(OFFSET(Persistance!$F:$F,0,$A$2-Persistance!$K$1),Persistance!$B:$B,'2014'!$A59,Persistance!$D:$D,'2014'!K$5,Persistance!$A:$A,"Industrial")*1000</f>
        <v>0</v>
      </c>
      <c r="L59" s="34">
        <f ca="1">SUM(B59:K59)*12</f>
        <v>0</v>
      </c>
      <c r="M59" s="34"/>
      <c r="N59" s="35"/>
      <c r="O59" s="36"/>
      <c r="P59" s="36"/>
      <c r="Q59" s="36"/>
      <c r="R59" s="2"/>
      <c r="S59" s="2"/>
      <c r="T59" s="2"/>
      <c r="U59" s="2"/>
    </row>
    <row r="60" spans="1:21" x14ac:dyDescent="0.25">
      <c r="A60" t="s">
        <v>60</v>
      </c>
      <c r="B60" s="51">
        <f ca="1">SUMIFS(OFFSET(Persistance!$F:$F,0,$A$2-Persistance!$K$1),Persistance!$B:$B,'2014'!$A60,Persistance!$D:$D,'2014'!B$5,Persistance!$A:$A,"Industrial")*1000</f>
        <v>0</v>
      </c>
      <c r="C60" s="51">
        <f ca="1">SUMIFS(OFFSET(Persistance!$F:$F,0,$A$2-Persistance!$K$1),Persistance!$B:$B,'2014'!$A60,Persistance!$D:$D,'2014'!C$5,Persistance!$A:$A,"Industrial")*1000</f>
        <v>0</v>
      </c>
      <c r="D60" s="51">
        <f ca="1">SUMIFS(OFFSET(Persistance!$F:$F,0,$A$2-Persistance!$K$1),Persistance!$B:$B,'2014'!$A60,Persistance!$D:$D,'2014'!D$5,Persistance!$A:$A,"Industrial")*1000</f>
        <v>0</v>
      </c>
      <c r="E60" s="51">
        <f ca="1">SUMIFS(OFFSET(Persistance!$F:$F,0,$A$2-Persistance!$K$1),Persistance!$B:$B,'2014'!$A60,Persistance!$D:$D,'2014'!E$5,Persistance!$A:$A,"Industrial")*1000</f>
        <v>0</v>
      </c>
      <c r="F60" s="51">
        <f ca="1">SUMIFS(OFFSET(Persistance!$F:$F,0,$A$2-Persistance!$K$1),Persistance!$B:$B,'2014'!$A60,Persistance!$D:$D,'2014'!F$5,Persistance!$A:$A,"Industrial")*1000</f>
        <v>0</v>
      </c>
      <c r="G60" s="51">
        <f ca="1">SUMIFS(OFFSET(Persistance!$F:$F,0,$A$2-Persistance!$K$1),Persistance!$B:$B,'2014'!$A60,Persistance!$D:$D,'2014'!G$5,Persistance!$A:$A,"Industrial")*1000</f>
        <v>0</v>
      </c>
      <c r="H60" s="51">
        <f ca="1">SUMIFS(OFFSET(Persistance!$F:$F,0,$A$2-Persistance!$K$1),Persistance!$B:$B,'2014'!$A60,Persistance!$D:$D,'2014'!H$5,Persistance!$A:$A,"Industrial")*1000</f>
        <v>0</v>
      </c>
      <c r="I60" s="51">
        <f ca="1">SUMIFS(OFFSET(Persistance!$F:$F,0,$A$2-Persistance!$K$1),Persistance!$B:$B,'2014'!$A60,Persistance!$D:$D,'2014'!I$5,Persistance!$A:$A,"Industrial")*1000</f>
        <v>0</v>
      </c>
      <c r="J60" s="51">
        <f ca="1">SUMIFS(OFFSET(Persistance!$F:$F,0,$A$2-Persistance!$K$1),Persistance!$B:$B,'2014'!$A60,Persistance!$D:$D,'2014'!J$5,Persistance!$A:$A,"Industrial")*1000</f>
        <v>0</v>
      </c>
      <c r="K60" s="51">
        <f ca="1">SUMIFS(OFFSET(Persistance!$F:$F,0,$A$2-Persistance!$K$1),Persistance!$B:$B,'2014'!$A60,Persistance!$D:$D,'2014'!K$5,Persistance!$A:$A,"Industrial")*1000</f>
        <v>0</v>
      </c>
      <c r="L60" s="34">
        <f t="shared" ref="L60:L63" ca="1" si="7">SUM(B60:K60)*12</f>
        <v>0</v>
      </c>
      <c r="M60" s="34"/>
      <c r="N60" s="35"/>
      <c r="O60" s="36"/>
      <c r="P60" s="36"/>
      <c r="Q60" s="36"/>
      <c r="R60" s="2"/>
      <c r="S60" s="2"/>
      <c r="T60" s="2"/>
      <c r="U60" s="2"/>
    </row>
    <row r="61" spans="1:21" x14ac:dyDescent="0.25">
      <c r="A61" t="s">
        <v>61</v>
      </c>
      <c r="B61" s="51">
        <f ca="1">SUMIFS(OFFSET(Persistance!$F:$F,0,$A$2-Persistance!$K$1),Persistance!$B:$B,'2014'!$A61,Persistance!$D:$D,'2014'!B$5,Persistance!$A:$A,"Industrial")*1000</f>
        <v>0</v>
      </c>
      <c r="C61" s="51">
        <f ca="1">SUMIFS(OFFSET(Persistance!$F:$F,0,$A$2-Persistance!$K$1),Persistance!$B:$B,'2014'!$A61,Persistance!$D:$D,'2014'!C$5,Persistance!$A:$A,"Industrial")*1000</f>
        <v>0</v>
      </c>
      <c r="D61" s="51">
        <f ca="1">SUMIFS(OFFSET(Persistance!$F:$F,0,$A$2-Persistance!$K$1),Persistance!$B:$B,'2014'!$A61,Persistance!$D:$D,'2014'!D$5,Persistance!$A:$A,"Industrial")*1000</f>
        <v>0</v>
      </c>
      <c r="E61" s="51">
        <f ca="1">SUMIFS(OFFSET(Persistance!$F:$F,0,$A$2-Persistance!$K$1),Persistance!$B:$B,'2014'!$A61,Persistance!$D:$D,'2014'!E$5,Persistance!$A:$A,"Industrial")*1000</f>
        <v>0</v>
      </c>
      <c r="F61" s="51">
        <f ca="1">SUMIFS(OFFSET(Persistance!$F:$F,0,$A$2-Persistance!$K$1),Persistance!$B:$B,'2014'!$A61,Persistance!$D:$D,'2014'!F$5,Persistance!$A:$A,"Industrial")*1000</f>
        <v>0</v>
      </c>
      <c r="G61" s="51">
        <f ca="1">SUMIFS(OFFSET(Persistance!$F:$F,0,$A$2-Persistance!$K$1),Persistance!$B:$B,'2014'!$A61,Persistance!$D:$D,'2014'!G$5,Persistance!$A:$A,"Industrial")*1000</f>
        <v>0</v>
      </c>
      <c r="H61" s="51">
        <f ca="1">SUMIFS(OFFSET(Persistance!$F:$F,0,$A$2-Persistance!$K$1),Persistance!$B:$B,'2014'!$A61,Persistance!$D:$D,'2014'!H$5,Persistance!$A:$A,"Industrial")*1000</f>
        <v>0</v>
      </c>
      <c r="I61" s="51">
        <f ca="1">SUMIFS(OFFSET(Persistance!$F:$F,0,$A$2-Persistance!$K$1),Persistance!$B:$B,'2014'!$A61,Persistance!$D:$D,'2014'!I$5,Persistance!$A:$A,"Industrial")*1000</f>
        <v>0</v>
      </c>
      <c r="J61" s="51">
        <f ca="1">SUMIFS(OFFSET(Persistance!$F:$F,0,$A$2-Persistance!$K$1),Persistance!$B:$B,'2014'!$A61,Persistance!$D:$D,'2014'!J$5,Persistance!$A:$A,"Industrial")*1000</f>
        <v>0</v>
      </c>
      <c r="K61" s="51">
        <f ca="1">SUMIFS(OFFSET(Persistance!$F:$F,0,$A$2-Persistance!$K$1),Persistance!$B:$B,'2014'!$A61,Persistance!$D:$D,'2014'!K$5,Persistance!$A:$A,"Industrial")*1000</f>
        <v>0</v>
      </c>
      <c r="L61" s="34">
        <f t="shared" ca="1" si="7"/>
        <v>0</v>
      </c>
      <c r="M61" s="34"/>
      <c r="N61" s="35"/>
      <c r="O61" s="36"/>
      <c r="P61" s="36"/>
      <c r="Q61" s="36"/>
      <c r="R61" s="2"/>
      <c r="S61" s="2"/>
      <c r="T61" s="2"/>
      <c r="U61" s="2"/>
    </row>
    <row r="62" spans="1:21" x14ac:dyDescent="0.25">
      <c r="A62" t="s">
        <v>59</v>
      </c>
      <c r="B62" s="51">
        <f ca="1">SUMIFS(OFFSET(Persistance!$F:$F,0,$A$2-Persistance!$K$1),Persistance!$B:$B,'2014'!$A62,Persistance!$D:$D,'2014'!B$5,Persistance!$A:$A,"Industrial")*1000</f>
        <v>0</v>
      </c>
      <c r="C62" s="51">
        <f ca="1">SUMIFS(OFFSET(Persistance!$F:$F,0,$A$2-Persistance!$K$1),Persistance!$B:$B,'2014'!$A62,Persistance!$D:$D,'2014'!C$5,Persistance!$A:$A,"Industrial")*1000</f>
        <v>0</v>
      </c>
      <c r="D62" s="51">
        <f ca="1">SUMIFS(OFFSET(Persistance!$F:$F,0,$A$2-Persistance!$K$1),Persistance!$B:$B,'2014'!$A62,Persistance!$D:$D,'2014'!D$5,Persistance!$A:$A,"Industrial")*1000</f>
        <v>0</v>
      </c>
      <c r="E62" s="51">
        <f ca="1">SUMIFS(OFFSET(Persistance!$F:$F,0,$A$2-Persistance!$K$1),Persistance!$B:$B,'2014'!$A62,Persistance!$D:$D,'2014'!E$5,Persistance!$A:$A,"Industrial")*1000</f>
        <v>0</v>
      </c>
      <c r="F62" s="51">
        <f ca="1">SUMIFS(OFFSET(Persistance!$F:$F,0,$A$2-Persistance!$K$1),Persistance!$B:$B,'2014'!$A62,Persistance!$D:$D,'2014'!F$5,Persistance!$A:$A,"Industrial")*1000</f>
        <v>0</v>
      </c>
      <c r="G62" s="51">
        <f ca="1">SUMIFS(OFFSET(Persistance!$F:$F,0,$A$2-Persistance!$K$1),Persistance!$B:$B,'2014'!$A62,Persistance!$D:$D,'2014'!G$5,Persistance!$A:$A,"Industrial")*1000</f>
        <v>0</v>
      </c>
      <c r="H62" s="51">
        <f ca="1">SUMIFS(OFFSET(Persistance!$F:$F,0,$A$2-Persistance!$K$1),Persistance!$B:$B,'2014'!$A62,Persistance!$D:$D,'2014'!H$5,Persistance!$A:$A,"Industrial")*1000</f>
        <v>0</v>
      </c>
      <c r="I62" s="51">
        <f ca="1">SUMIFS(OFFSET(Persistance!$F:$F,0,$A$2-Persistance!$K$1),Persistance!$B:$B,'2014'!$A62,Persistance!$D:$D,'2014'!I$5,Persistance!$A:$A,"Industrial")*1000</f>
        <v>0</v>
      </c>
      <c r="J62" s="51">
        <f ca="1">SUMIFS(OFFSET(Persistance!$F:$F,0,$A$2-Persistance!$K$1),Persistance!$B:$B,'2014'!$A62,Persistance!$D:$D,'2014'!J$5,Persistance!$A:$A,"Industrial")*1000</f>
        <v>0</v>
      </c>
      <c r="K62" s="51">
        <f ca="1">SUMIFS(OFFSET(Persistance!$F:$F,0,$A$2-Persistance!$K$1),Persistance!$B:$B,'2014'!$A62,Persistance!$D:$D,'2014'!K$5,Persistance!$A:$A,"Industrial")*1000</f>
        <v>0</v>
      </c>
      <c r="L62" s="34">
        <f t="shared" ca="1" si="7"/>
        <v>0</v>
      </c>
      <c r="M62" s="34"/>
      <c r="N62" s="35"/>
      <c r="O62" s="36"/>
      <c r="P62" s="36"/>
      <c r="Q62" s="36"/>
      <c r="R62" s="2"/>
      <c r="S62" s="2"/>
      <c r="T62" s="2"/>
      <c r="U62" s="2"/>
    </row>
    <row r="63" spans="1:21" x14ac:dyDescent="0.25">
      <c r="A63" t="s">
        <v>14</v>
      </c>
      <c r="B63" s="51">
        <f ca="1">SUMIFS(OFFSET(Persistance!$F:$F,0,$A$2-Persistance!$F$1),Persistance!$B:$B,$A63,Persistance!$D:$D,B$5)*1000*'Retrofit Split'!B$7</f>
        <v>30.958106131722101</v>
      </c>
      <c r="C63" s="51">
        <f ca="1">SUMIFS(OFFSET(Persistance!$F:$F,0,$A$2-Persistance!$F$1),Persistance!$B:$B,$A63,Persistance!$D:$D,C$5)*1000*'Retrofit Split'!C$7</f>
        <v>92.949120127940205</v>
      </c>
      <c r="D63" s="51">
        <f ca="1">SUMIFS(OFFSET(Persistance!$F:$F,0,$A$2-Persistance!$F$1),Persistance!$B:$B,$A63,Persistance!$D:$D,D$5)*1000*'Retrofit Split'!D$7</f>
        <v>15.805120692456541</v>
      </c>
      <c r="E63" s="51">
        <f ca="1">SUMIFS(OFFSET(Persistance!$F:$F,0,$A$2-Persistance!$F$1),Persistance!$B:$B,$A63,Persistance!$D:$D,E$5)*1000*'Retrofit Split'!E$7</f>
        <v>37.544719818013256</v>
      </c>
      <c r="F63" s="51">
        <f ca="1">SUMIFS(OFFSET(Persistance!$F:$F,0,$A$2-Persistance!$F$1),Persistance!$B:$B,$A63,Persistance!$D:$D,F$5)*1000*'Retrofit Split'!F$7</f>
        <v>0</v>
      </c>
      <c r="G63" s="51">
        <f ca="1">SUMIFS(OFFSET(Persistance!$F:$F,0,$A$2-Persistance!$F$1),Persistance!$B:$B,$A63,Persistance!$D:$D,G$5)*1000*'Retrofit Split'!G$7</f>
        <v>0</v>
      </c>
      <c r="H63" s="51">
        <f ca="1">SUMIFS(OFFSET(Persistance!$F:$F,0,$A$2-Persistance!$F$1),Persistance!$B:$B,$A63,Persistance!$D:$D,H$5)*1000*'Retrofit Split'!H$7</f>
        <v>0</v>
      </c>
      <c r="I63" s="51">
        <f ca="1">SUMIFS(OFFSET(Persistance!$F:$F,0,$A$2-Persistance!$F$1),Persistance!$B:$B,$A63,Persistance!$D:$D,I$5)*1000*'Retrofit Split'!I$7</f>
        <v>0</v>
      </c>
      <c r="J63" s="51">
        <f ca="1">SUMIFS(OFFSET(Persistance!$F:$F,0,$A$2-Persistance!$F$1),Persistance!$B:$B,$A63,Persistance!$D:$D,J$5)*1000*'Retrofit Split'!J$7</f>
        <v>0</v>
      </c>
      <c r="K63" s="51">
        <f ca="1">SUMIFS(OFFSET(Persistance!$F:$F,0,$A$2-Persistance!$F$1),Persistance!$B:$B,$A63,Persistance!$D:$D,K$5)*1000*'Retrofit Split'!K$7</f>
        <v>0</v>
      </c>
      <c r="L63" s="34">
        <f t="shared" ca="1" si="7"/>
        <v>2127.0848012415854</v>
      </c>
      <c r="M63" s="34"/>
      <c r="N63" s="35"/>
      <c r="O63" s="36"/>
      <c r="P63" s="36"/>
      <c r="Q63" s="36"/>
      <c r="R63" s="2"/>
      <c r="S63" s="28" t="s">
        <v>48</v>
      </c>
      <c r="T63" s="28" t="s">
        <v>17</v>
      </c>
      <c r="U63" s="2" t="s">
        <v>49</v>
      </c>
    </row>
    <row r="64" spans="1:21" x14ac:dyDescent="0.25">
      <c r="B64" s="2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5"/>
      <c r="O64" s="36"/>
      <c r="P64" s="36"/>
      <c r="Q64" s="36"/>
      <c r="R64" s="2"/>
      <c r="S64" s="29">
        <f ca="1">$A$2</f>
        <v>2014</v>
      </c>
      <c r="T64" s="50">
        <f ca="1">AVERAGEIFS(Rates!E:E,Rates!F:F,'2014'!S64,Rates!G:G,"Industrial")</f>
        <v>1.9287000000000001</v>
      </c>
      <c r="U64" s="30">
        <f ca="1">AVERAGEIFS(Rates!B:B,Rates!F:F,'2014'!S64,Rates!G:G,"Industrial")</f>
        <v>41760</v>
      </c>
    </row>
    <row r="65" spans="1:21" x14ac:dyDescent="0.25">
      <c r="A65" t="s">
        <v>19</v>
      </c>
      <c r="B65" s="64">
        <f ca="1">SUM(B53:B64)</f>
        <v>30.958106131722101</v>
      </c>
      <c r="C65" s="64">
        <f ca="1">SUM(C53:C64)</f>
        <v>92.949120127940205</v>
      </c>
      <c r="D65" s="64">
        <f ca="1">SUM(D53:D64)</f>
        <v>15.982618692456541</v>
      </c>
      <c r="E65" s="64">
        <f t="shared" ref="E65:L65" ca="1" si="8">SUM(E53:E64)</f>
        <v>101.71433981801326</v>
      </c>
      <c r="F65" s="64">
        <f t="shared" ca="1" si="8"/>
        <v>0</v>
      </c>
      <c r="G65" s="64">
        <f t="shared" ca="1" si="8"/>
        <v>0</v>
      </c>
      <c r="H65" s="64">
        <f t="shared" ca="1" si="8"/>
        <v>0</v>
      </c>
      <c r="I65" s="64">
        <f t="shared" ca="1" si="8"/>
        <v>0</v>
      </c>
      <c r="J65" s="64">
        <f t="shared" ca="1" si="8"/>
        <v>0</v>
      </c>
      <c r="K65" s="64">
        <f t="shared" ca="1" si="8"/>
        <v>0</v>
      </c>
      <c r="L65" s="64">
        <f t="shared" ca="1" si="8"/>
        <v>2129.2147772415856</v>
      </c>
      <c r="M65" s="64">
        <f>Summary!$G$8</f>
        <v>631</v>
      </c>
      <c r="N65" s="64">
        <f ca="1">(((MONTH(U64)-1)/12)*T65)+(((12-(MONTH(U64)-1))/12)*T64)</f>
        <v>1.9189000000000001</v>
      </c>
      <c r="O65" s="64">
        <f ca="1">ROUND(L65*N65,2)</f>
        <v>4085.75</v>
      </c>
      <c r="P65" s="64">
        <f ca="1">ROUND(M65*N65,2)</f>
        <v>1210.83</v>
      </c>
      <c r="Q65" s="64">
        <f ca="1">+O65-P65</f>
        <v>2874.92</v>
      </c>
      <c r="R65" s="2"/>
      <c r="S65" s="29">
        <f ca="1">S64-1</f>
        <v>2013</v>
      </c>
      <c r="T65" s="50">
        <f ca="1">AVERAGEIFS(Rates!E:E,Rates!F:F,'2014'!S65,Rates!G:G,"Industrial")</f>
        <v>1.8993</v>
      </c>
      <c r="U65" s="2"/>
    </row>
    <row r="66" spans="1:21" x14ac:dyDescent="0.25">
      <c r="B66" s="65"/>
      <c r="C66" s="65"/>
      <c r="D66" s="65"/>
      <c r="E66" s="53"/>
      <c r="F66" s="53"/>
      <c r="G66" s="53"/>
      <c r="H66" s="53"/>
      <c r="I66" s="53"/>
      <c r="J66" s="53"/>
      <c r="K66" s="53"/>
      <c r="L66" s="53">
        <f ca="1">L65/12</f>
        <v>177.43456477013214</v>
      </c>
      <c r="M66" s="53"/>
      <c r="N66" s="53"/>
      <c r="O66" s="53"/>
      <c r="P66" s="53"/>
      <c r="Q66" s="53"/>
      <c r="R66" s="2"/>
      <c r="S66" s="2"/>
      <c r="T66" s="2"/>
      <c r="U66" s="2"/>
    </row>
    <row r="67" spans="1:21" ht="15.75" thickBot="1" x14ac:dyDescent="0.3">
      <c r="A67" t="s">
        <v>20</v>
      </c>
      <c r="B67" s="66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67">
        <f ca="1">SUM(O30:O66)</f>
        <v>24860.67</v>
      </c>
      <c r="P67" s="67">
        <f ca="1">SUM(P30:P66)</f>
        <v>11010.449999999999</v>
      </c>
      <c r="Q67" s="67">
        <f ca="1">SUM(Q30:Q66)</f>
        <v>13850.22</v>
      </c>
      <c r="R67" s="2"/>
      <c r="S67" s="2"/>
      <c r="T67" s="2"/>
      <c r="U67" s="2"/>
    </row>
    <row r="68" spans="1:21" ht="15.75" thickTop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R68" s="2"/>
      <c r="S68" s="2"/>
      <c r="T68" s="2"/>
      <c r="U68" s="2"/>
    </row>
    <row r="69" spans="1:2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R69" s="2"/>
      <c r="S69" s="2"/>
      <c r="T69" s="2"/>
      <c r="U69" s="2"/>
    </row>
    <row r="70" spans="1:2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R70" s="2"/>
      <c r="S70" s="2"/>
      <c r="T70" s="2"/>
      <c r="U70" s="2"/>
    </row>
    <row r="71" spans="1:21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R71" s="2"/>
      <c r="S71" s="2"/>
      <c r="T71" s="2"/>
      <c r="U71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F19" sqref="F19"/>
    </sheetView>
  </sheetViews>
  <sheetFormatPr defaultRowHeight="15" x14ac:dyDescent="0.25"/>
  <cols>
    <col min="3" max="3" width="12.5703125" bestFit="1" customWidth="1"/>
    <col min="4" max="4" width="13.140625" bestFit="1" customWidth="1"/>
    <col min="6" max="6" width="27.5703125" bestFit="1" customWidth="1"/>
    <col min="7" max="7" width="9.5703125" bestFit="1" customWidth="1"/>
    <col min="8" max="8" width="11.5703125" bestFit="1" customWidth="1"/>
  </cols>
  <sheetData>
    <row r="2" spans="2:8" x14ac:dyDescent="0.25">
      <c r="B2" t="s">
        <v>48</v>
      </c>
      <c r="C2" t="s">
        <v>89</v>
      </c>
      <c r="D2" t="s">
        <v>116</v>
      </c>
      <c r="F2" t="s">
        <v>93</v>
      </c>
    </row>
    <row r="3" spans="2:8" x14ac:dyDescent="0.25">
      <c r="B3">
        <v>2011</v>
      </c>
      <c r="C3" s="33" t="str">
        <f ca="1">IFERROR(INDIRECT("'"&amp;B3&amp;"'!Q67"),"")</f>
        <v/>
      </c>
      <c r="D3" s="33">
        <f ca="1">IFERROR(VLOOKUP(B3,'Carry Rates'!F:T,13,FALSE),"")</f>
        <v>0</v>
      </c>
      <c r="F3">
        <v>2012</v>
      </c>
    </row>
    <row r="4" spans="2:8" x14ac:dyDescent="0.25">
      <c r="B4">
        <f>B3+1</f>
        <v>2012</v>
      </c>
      <c r="C4" s="33">
        <f t="shared" ref="C4:C12" ca="1" si="0">IFERROR(INDIRECT("'"&amp;B4&amp;"'!Q67"),"")</f>
        <v>3467.53</v>
      </c>
      <c r="D4" s="33">
        <f ca="1">IFERROR(VLOOKUP(B4,'Carry Rates'!F:T,13,FALSE),"")</f>
        <v>31.975225063402242</v>
      </c>
    </row>
    <row r="5" spans="2:8" x14ac:dyDescent="0.25">
      <c r="B5">
        <f t="shared" ref="B5:B11" si="1">B4+1</f>
        <v>2013</v>
      </c>
      <c r="C5" s="33">
        <f t="shared" ca="1" si="0"/>
        <v>6806.1899999999987</v>
      </c>
      <c r="D5" s="33">
        <f ca="1">IFERROR(VLOOKUP(B5,'Carry Rates'!F:T,13,FALSE),"")</f>
        <v>114.48909807036716</v>
      </c>
      <c r="F5" t="s">
        <v>94</v>
      </c>
      <c r="G5" t="s">
        <v>47</v>
      </c>
      <c r="H5" t="s">
        <v>86</v>
      </c>
    </row>
    <row r="6" spans="2:8" x14ac:dyDescent="0.25">
      <c r="B6">
        <f t="shared" si="1"/>
        <v>2014</v>
      </c>
      <c r="C6" s="33">
        <f t="shared" ca="1" si="0"/>
        <v>13850.22</v>
      </c>
      <c r="D6" s="33">
        <f ca="1">IFERROR(VLOOKUP(B6,'Carry Rates'!F:T,13,FALSE),"")</f>
        <v>281.74056267255315</v>
      </c>
      <c r="F6" t="s">
        <v>83</v>
      </c>
      <c r="G6" s="1"/>
      <c r="H6" s="1">
        <v>522335</v>
      </c>
    </row>
    <row r="7" spans="2:8" x14ac:dyDescent="0.25">
      <c r="B7">
        <f t="shared" si="1"/>
        <v>2015</v>
      </c>
      <c r="C7" s="33" t="str">
        <f t="shared" ca="1" si="0"/>
        <v/>
      </c>
      <c r="D7" s="33">
        <f ca="1">IFERROR(VLOOKUP(B7,'Carry Rates'!F:T,13,FALSE),"")</f>
        <v>0</v>
      </c>
      <c r="F7" t="s">
        <v>95</v>
      </c>
      <c r="G7" s="1"/>
      <c r="H7" s="1">
        <v>232046</v>
      </c>
    </row>
    <row r="8" spans="2:8" x14ac:dyDescent="0.25">
      <c r="B8">
        <f t="shared" si="1"/>
        <v>2016</v>
      </c>
      <c r="C8" s="33" t="str">
        <f t="shared" ca="1" si="0"/>
        <v/>
      </c>
      <c r="D8" s="33">
        <f ca="1">IFERROR(VLOOKUP(B8,'Carry Rates'!F:T,13,FALSE),"")</f>
        <v>0</v>
      </c>
      <c r="F8" t="s">
        <v>96</v>
      </c>
      <c r="G8" s="1">
        <v>631</v>
      </c>
      <c r="H8" s="1">
        <v>190310</v>
      </c>
    </row>
    <row r="9" spans="2:8" x14ac:dyDescent="0.25">
      <c r="B9">
        <f t="shared" si="1"/>
        <v>2017</v>
      </c>
      <c r="C9" s="33" t="str">
        <f t="shared" ca="1" si="0"/>
        <v/>
      </c>
      <c r="D9" s="33">
        <f ca="1">IFERROR(VLOOKUP(B9,'Carry Rates'!F:T,13,FALSE),"")</f>
        <v>0</v>
      </c>
    </row>
    <row r="10" spans="2:8" x14ac:dyDescent="0.25">
      <c r="B10">
        <f t="shared" si="1"/>
        <v>2018</v>
      </c>
      <c r="C10" s="33" t="str">
        <f t="shared" ca="1" si="0"/>
        <v/>
      </c>
      <c r="D10" s="33">
        <f ca="1">IFERROR(VLOOKUP(B10,'Carry Rates'!F:T,13,FALSE),"")</f>
        <v>0</v>
      </c>
    </row>
    <row r="11" spans="2:8" x14ac:dyDescent="0.25">
      <c r="B11">
        <f t="shared" si="1"/>
        <v>2019</v>
      </c>
      <c r="C11" s="33" t="str">
        <f t="shared" ca="1" si="0"/>
        <v/>
      </c>
      <c r="D11" s="33">
        <f ca="1">IFERROR(VLOOKUP(B11,'Carry Rates'!F:T,13,FALSE),"")</f>
        <v>0</v>
      </c>
    </row>
    <row r="12" spans="2:8" x14ac:dyDescent="0.25">
      <c r="B12">
        <f t="shared" ref="B12" si="2">B11+1</f>
        <v>2020</v>
      </c>
      <c r="C12" s="33" t="str">
        <f t="shared" ca="1" si="0"/>
        <v/>
      </c>
      <c r="D12" s="33">
        <f ca="1">IFERROR(VLOOKUP(B12,'Carry Rates'!F:T,13,FALSE),"")</f>
        <v>0</v>
      </c>
    </row>
    <row r="13" spans="2:8" x14ac:dyDescent="0.25">
      <c r="C13" s="33"/>
      <c r="D13" s="33"/>
    </row>
    <row r="14" spans="2:8" x14ac:dyDescent="0.25">
      <c r="B14" t="s">
        <v>117</v>
      </c>
      <c r="C14" s="68">
        <f ca="1">SUM(C3:C12)</f>
        <v>24123.94</v>
      </c>
      <c r="D14" s="68">
        <f ca="1">SUM(D3:D12)</f>
        <v>428.20488580632252</v>
      </c>
    </row>
    <row r="15" spans="2:8" x14ac:dyDescent="0.25">
      <c r="B15" t="s">
        <v>15</v>
      </c>
      <c r="C15" s="70">
        <f ca="1">SUM(C14:D14)</f>
        <v>24552.14488580632</v>
      </c>
      <c r="D15" s="70"/>
    </row>
    <row r="17" spans="2:4" x14ac:dyDescent="0.25">
      <c r="B17" s="54"/>
      <c r="C17" s="55"/>
      <c r="D17" s="55"/>
    </row>
  </sheetData>
  <mergeCells count="1">
    <mergeCell ref="C15:D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tabSelected="1" workbookViewId="0">
      <selection activeCell="I15" sqref="I15"/>
    </sheetView>
  </sheetViews>
  <sheetFormatPr defaultRowHeight="15" x14ac:dyDescent="0.25"/>
  <cols>
    <col min="7" max="7" width="11.5703125" bestFit="1" customWidth="1"/>
    <col min="9" max="9" width="13.42578125" bestFit="1" customWidth="1"/>
    <col min="10" max="10" width="12.7109375" bestFit="1" customWidth="1"/>
    <col min="11" max="11" width="12.5703125" bestFit="1" customWidth="1"/>
    <col min="12" max="12" width="12.7109375" bestFit="1" customWidth="1"/>
    <col min="13" max="13" width="12.5703125" bestFit="1" customWidth="1"/>
    <col min="14" max="14" width="12.7109375" bestFit="1" customWidth="1"/>
    <col min="15" max="15" width="12.5703125" bestFit="1" customWidth="1"/>
    <col min="16" max="16" width="12.7109375" bestFit="1" customWidth="1"/>
    <col min="17" max="18" width="12.5703125" bestFit="1" customWidth="1"/>
    <col min="19" max="19" width="11.5703125" bestFit="1" customWidth="1"/>
    <col min="20" max="20" width="9.28515625" customWidth="1"/>
  </cols>
  <sheetData>
    <row r="1" spans="2:20" x14ac:dyDescent="0.25">
      <c r="J1" s="69" t="s">
        <v>109</v>
      </c>
      <c r="K1" s="69"/>
      <c r="L1" s="69"/>
      <c r="M1" s="69"/>
      <c r="N1" s="69"/>
      <c r="O1" s="69"/>
      <c r="P1" s="69"/>
    </row>
    <row r="2" spans="2:20" x14ac:dyDescent="0.25">
      <c r="J2" s="69" t="s">
        <v>105</v>
      </c>
      <c r="K2" s="69"/>
      <c r="L2" s="69" t="s">
        <v>106</v>
      </c>
      <c r="M2" s="69"/>
      <c r="N2" s="69" t="s">
        <v>107</v>
      </c>
      <c r="O2" s="69"/>
      <c r="P2" s="69" t="s">
        <v>108</v>
      </c>
      <c r="Q2" s="69"/>
      <c r="R2" s="39" t="s">
        <v>15</v>
      </c>
      <c r="S2" s="69" t="s">
        <v>115</v>
      </c>
      <c r="T2" s="69"/>
    </row>
    <row r="3" spans="2:20" x14ac:dyDescent="0.25">
      <c r="B3" t="s">
        <v>48</v>
      </c>
      <c r="C3" t="s">
        <v>104</v>
      </c>
      <c r="D3" t="s">
        <v>17</v>
      </c>
      <c r="F3" t="s">
        <v>48</v>
      </c>
      <c r="G3" t="s">
        <v>89</v>
      </c>
      <c r="I3" s="4" t="s">
        <v>112</v>
      </c>
      <c r="J3" s="4" t="s">
        <v>113</v>
      </c>
      <c r="K3" s="4" t="s">
        <v>110</v>
      </c>
      <c r="L3" s="4" t="s">
        <v>113</v>
      </c>
      <c r="M3" s="4" t="s">
        <v>110</v>
      </c>
      <c r="N3" s="4" t="s">
        <v>113</v>
      </c>
      <c r="O3" s="4" t="s">
        <v>110</v>
      </c>
      <c r="P3" s="4" t="s">
        <v>113</v>
      </c>
      <c r="Q3" s="4" t="s">
        <v>110</v>
      </c>
      <c r="R3" s="4" t="s">
        <v>111</v>
      </c>
      <c r="S3" s="4" t="s">
        <v>114</v>
      </c>
      <c r="T3" s="4" t="s">
        <v>110</v>
      </c>
    </row>
    <row r="4" spans="2:20" x14ac:dyDescent="0.25">
      <c r="B4">
        <v>2011</v>
      </c>
      <c r="C4" t="s">
        <v>105</v>
      </c>
      <c r="D4">
        <v>1.47E-2</v>
      </c>
      <c r="F4">
        <v>2011</v>
      </c>
      <c r="G4" s="33" t="str">
        <f ca="1">IFERROR(INDIRECT("'"&amp;F4&amp;"'!Q67"),"")</f>
        <v/>
      </c>
      <c r="I4" s="33">
        <v>0</v>
      </c>
      <c r="J4" s="33">
        <f ca="1">IFERROR($G4*0.25,0)</f>
        <v>0</v>
      </c>
      <c r="K4" s="33">
        <f ca="1">(SUMIFS($D:$D,$C:$C,J$2,$B:$B,$F4)*0.25)*SUM($I4:J4)</f>
        <v>0</v>
      </c>
      <c r="L4" s="33">
        <f ca="1">IFERROR($G4*0.25,0)</f>
        <v>0</v>
      </c>
      <c r="M4" s="33">
        <f ca="1">(SUMIFS($D:$D,$C:$C,L$2,$B:$B,$F4)*0.25)*SUM($I4:L4)</f>
        <v>0</v>
      </c>
      <c r="N4" s="33">
        <f ca="1">IFERROR($G4*0.25,0)</f>
        <v>0</v>
      </c>
      <c r="O4" s="33">
        <f ca="1">(SUMIFS($D:$D,$C:$C,N$2,$B:$B,$F4)*0.25)*SUM($I4:N4)</f>
        <v>0</v>
      </c>
      <c r="P4" s="33">
        <f ca="1">IFERROR($G4*0.25,0)</f>
        <v>0</v>
      </c>
      <c r="Q4" s="33">
        <f ca="1">(SUMIFS($D:$D,$C:$C,P$2,$B:$B,$F4)*0.25)*SUM($I4:P4)</f>
        <v>0</v>
      </c>
      <c r="R4" s="33">
        <f ca="1">SUM(K4,M4,O4,Q4)</f>
        <v>0</v>
      </c>
      <c r="S4" s="33">
        <f ca="1">SUM(I4:Q4)</f>
        <v>0</v>
      </c>
      <c r="T4" s="33">
        <f ca="1">SUM($K$3:K4,$M$3:M4,$O$3:O4,$Q$3:Q4)</f>
        <v>0</v>
      </c>
    </row>
    <row r="5" spans="2:20" x14ac:dyDescent="0.25">
      <c r="B5">
        <v>2011</v>
      </c>
      <c r="C5" t="s">
        <v>106</v>
      </c>
      <c r="D5">
        <v>1.47E-2</v>
      </c>
      <c r="F5">
        <f>F4+1</f>
        <v>2012</v>
      </c>
      <c r="G5" s="33">
        <f t="shared" ref="G5:G13" ca="1" si="0">IFERROR(INDIRECT("'"&amp;F5&amp;"'!Q67"),"")</f>
        <v>3467.53</v>
      </c>
      <c r="I5" s="33">
        <f ca="1">IF(G5&lt;&gt;"",S4,0)</f>
        <v>0</v>
      </c>
      <c r="J5" s="33">
        <f t="shared" ref="J5:J13" ca="1" si="1">IFERROR($G5*0.25,0)</f>
        <v>866.88250000000005</v>
      </c>
      <c r="K5" s="33">
        <f ca="1">(SUMIFS($D:$D,$C:$C,J$2,$B:$B,$F5)*0.25)*SUM($I5:J5)</f>
        <v>3.1857931875000003</v>
      </c>
      <c r="L5" s="33">
        <f t="shared" ref="L5:L13" ca="1" si="2">IFERROR($G5*0.25,0)</f>
        <v>866.88250000000005</v>
      </c>
      <c r="M5" s="33">
        <f ca="1">(SUMIFS($D:$D,$C:$C,L$2,$B:$B,$F5)*0.25)*SUM($I5:L5)</f>
        <v>6.3832941649640622</v>
      </c>
      <c r="N5" s="33">
        <f t="shared" ref="N5:N13" ca="1" si="3">IFERROR($G5*0.25,0)</f>
        <v>866.88250000000005</v>
      </c>
      <c r="O5" s="33">
        <f ca="1">(SUMIFS($D:$D,$C:$C,N$2,$B:$B,$F5)*0.25)*SUM($I5:N5)</f>
        <v>9.5925459585203061</v>
      </c>
      <c r="P5" s="33">
        <f t="shared" ref="P5:P13" ca="1" si="4">IFERROR($G5*0.25,0)</f>
        <v>866.88250000000005</v>
      </c>
      <c r="Q5" s="33">
        <f ca="1">(SUMIFS($D:$D,$C:$C,P$2,$B:$B,$F5)*0.25)*SUM($I5:P5)</f>
        <v>12.813591752417869</v>
      </c>
      <c r="R5" s="33">
        <f ca="1">SUM(K5,M5,O5,Q5)</f>
        <v>31.975225063402242</v>
      </c>
      <c r="S5" s="33">
        <f t="shared" ref="S5:S13" ca="1" si="5">SUM(I5:Q5)</f>
        <v>3499.5052250634026</v>
      </c>
      <c r="T5" s="33">
        <f ca="1">SUM($K$3:K5,$M$3:M5,$O$3:O5,$Q$3:Q5)</f>
        <v>31.975225063402242</v>
      </c>
    </row>
    <row r="6" spans="2:20" x14ac:dyDescent="0.25">
      <c r="B6">
        <v>2011</v>
      </c>
      <c r="C6" t="s">
        <v>107</v>
      </c>
      <c r="D6">
        <v>1.47E-2</v>
      </c>
      <c r="F6">
        <f t="shared" ref="F6:F13" si="6">F5+1</f>
        <v>2013</v>
      </c>
      <c r="G6" s="33">
        <f t="shared" ca="1" si="0"/>
        <v>6806.1899999999987</v>
      </c>
      <c r="I6" s="33">
        <f t="shared" ref="I6:I13" ca="1" si="7">IF(G6&lt;&gt;"",S5,0)</f>
        <v>3499.5052250634026</v>
      </c>
      <c r="J6" s="33">
        <f t="shared" ca="1" si="1"/>
        <v>1701.5474999999997</v>
      </c>
      <c r="K6" s="33">
        <f ca="1">(SUMIFS($D:$D,$C:$C,J$2,$B:$B,$F6)*0.25)*SUM($I6:J6)</f>
        <v>19.113868764608004</v>
      </c>
      <c r="L6" s="33">
        <f t="shared" ca="1" si="2"/>
        <v>1701.5474999999997</v>
      </c>
      <c r="M6" s="33">
        <f ca="1">(SUMIFS($D:$D,$C:$C,L$2,$B:$B,$F6)*0.25)*SUM($I6:L6)</f>
        <v>25.437299294817937</v>
      </c>
      <c r="N6" s="33">
        <f t="shared" ca="1" si="3"/>
        <v>1701.5474999999997</v>
      </c>
      <c r="O6" s="33">
        <f ca="1">(SUMIFS($D:$D,$C:$C,N$2,$B:$B,$F6)*0.25)*SUM($I6:N6)</f>
        <v>31.783968432226391</v>
      </c>
      <c r="P6" s="33">
        <f t="shared" ca="1" si="4"/>
        <v>1701.5474999999997</v>
      </c>
      <c r="Q6" s="33">
        <f ca="1">(SUMIFS($D:$D,$C:$C,P$2,$B:$B,$F6)*0.25)*SUM($I6:P6)</f>
        <v>38.153961578714828</v>
      </c>
      <c r="R6" s="33">
        <f ca="1">SUM(K6,M6,O6,Q6)</f>
        <v>114.48909807036716</v>
      </c>
      <c r="S6" s="33">
        <f t="shared" ca="1" si="5"/>
        <v>10420.18432313377</v>
      </c>
      <c r="T6" s="33">
        <f ca="1">SUM($K$3:K6,$M$3:M6,$O$3:O6,$Q$3:Q6)</f>
        <v>146.46432313376937</v>
      </c>
    </row>
    <row r="7" spans="2:20" x14ac:dyDescent="0.25">
      <c r="B7">
        <v>2011</v>
      </c>
      <c r="C7" t="s">
        <v>108</v>
      </c>
      <c r="D7">
        <v>1.47E-2</v>
      </c>
      <c r="F7">
        <f t="shared" si="6"/>
        <v>2014</v>
      </c>
      <c r="G7" s="33">
        <f t="shared" ca="1" si="0"/>
        <v>13850.22</v>
      </c>
      <c r="I7" s="33">
        <f t="shared" ca="1" si="7"/>
        <v>10420.18432313377</v>
      </c>
      <c r="J7" s="33">
        <f t="shared" ca="1" si="1"/>
        <v>3462.5549999999998</v>
      </c>
      <c r="K7" s="33">
        <f ca="1">(SUMIFS($D:$D,$C:$C,J$2,$B:$B,$F7)*0.25)*SUM($I7:J7)</f>
        <v>51.019067012516601</v>
      </c>
      <c r="L7" s="33">
        <f t="shared" ca="1" si="2"/>
        <v>3462.5549999999998</v>
      </c>
      <c r="M7" s="33">
        <f ca="1">(SUMIFS($D:$D,$C:$C,L$2,$B:$B,$F7)*0.25)*SUM($I7:L7)</f>
        <v>63.931451708787598</v>
      </c>
      <c r="N7" s="33">
        <f t="shared" ca="1" si="3"/>
        <v>3462.5549999999998</v>
      </c>
      <c r="O7" s="33">
        <f ca="1">(SUMIFS($D:$D,$C:$C,N$2,$B:$B,$F7)*0.25)*SUM($I7:N7)</f>
        <v>76.891289418817394</v>
      </c>
      <c r="P7" s="33">
        <f t="shared" ca="1" si="4"/>
        <v>3462.5549999999998</v>
      </c>
      <c r="Q7" s="33">
        <f ca="1">(SUMIFS($D:$D,$C:$C,P$2,$B:$B,$F7)*0.25)*SUM($I7:P7)</f>
        <v>89.898754532431553</v>
      </c>
      <c r="R7" s="33">
        <f ca="1">SUM(K7,M7,O7,Q7)</f>
        <v>281.74056267255315</v>
      </c>
      <c r="S7" s="33">
        <f t="shared" ca="1" si="5"/>
        <v>24552.144885806323</v>
      </c>
      <c r="T7" s="33">
        <f ca="1">SUM($K$3:K7,$M$3:M7,$O$3:O7,$Q$3:Q7)</f>
        <v>428.20488580632258</v>
      </c>
    </row>
    <row r="8" spans="2:20" x14ac:dyDescent="0.25">
      <c r="B8">
        <f>B4+1</f>
        <v>2012</v>
      </c>
      <c r="C8" t="s">
        <v>105</v>
      </c>
      <c r="D8">
        <v>1.47E-2</v>
      </c>
      <c r="F8">
        <f t="shared" si="6"/>
        <v>2015</v>
      </c>
      <c r="G8" s="33" t="str">
        <f t="shared" ca="1" si="0"/>
        <v/>
      </c>
      <c r="I8" s="33">
        <f t="shared" ca="1" si="7"/>
        <v>0</v>
      </c>
      <c r="J8" s="33">
        <f t="shared" ca="1" si="1"/>
        <v>0</v>
      </c>
      <c r="K8" s="33">
        <f ca="1">(SUMIFS($D:$D,$C:$C,J$2,$B:$B,$F8)*0.25)*SUM($I8:J8)</f>
        <v>0</v>
      </c>
      <c r="L8" s="33">
        <f t="shared" ca="1" si="2"/>
        <v>0</v>
      </c>
      <c r="M8" s="33">
        <f ca="1">(SUMIFS($D:$D,$C:$C,L$2,$B:$B,$F8)*0.25)*SUM($I8:L8)</f>
        <v>0</v>
      </c>
      <c r="N8" s="33">
        <f t="shared" ca="1" si="3"/>
        <v>0</v>
      </c>
      <c r="O8" s="33">
        <f ca="1">(SUMIFS($D:$D,$C:$C,N$2,$B:$B,$F8)*0.25)*SUM($I8:N8)</f>
        <v>0</v>
      </c>
      <c r="P8" s="33">
        <f t="shared" ca="1" si="4"/>
        <v>0</v>
      </c>
      <c r="Q8" s="33">
        <f ca="1">(SUMIFS($D:$D,$C:$C,P$2,$B:$B,$F8)*0.25)*SUM($I8:P8)</f>
        <v>0</v>
      </c>
      <c r="R8" s="33">
        <f ca="1">SUM(K8,M8,O8,Q8)</f>
        <v>0</v>
      </c>
      <c r="S8" s="33">
        <f t="shared" ca="1" si="5"/>
        <v>0</v>
      </c>
      <c r="T8" s="33">
        <f ca="1">SUM($K$3:K8,$M$3:M8,$O$3:O8,$Q$3:Q8)</f>
        <v>428.20488580632258</v>
      </c>
    </row>
    <row r="9" spans="2:20" x14ac:dyDescent="0.25">
      <c r="B9">
        <f t="shared" ref="B9:B31" si="8">B5+1</f>
        <v>2012</v>
      </c>
      <c r="C9" t="s">
        <v>106</v>
      </c>
      <c r="D9">
        <v>1.47E-2</v>
      </c>
      <c r="F9">
        <f t="shared" si="6"/>
        <v>2016</v>
      </c>
      <c r="G9" s="33" t="str">
        <f t="shared" ca="1" si="0"/>
        <v/>
      </c>
      <c r="I9" s="33">
        <f t="shared" ca="1" si="7"/>
        <v>0</v>
      </c>
      <c r="J9" s="33">
        <f t="shared" ca="1" si="1"/>
        <v>0</v>
      </c>
      <c r="K9" s="33">
        <f ca="1">(SUMIFS($D:$D,$C:$C,J$2,$B:$B,$F9)*0.25)*SUM($I9:J9)</f>
        <v>0</v>
      </c>
      <c r="L9" s="33">
        <f t="shared" ca="1" si="2"/>
        <v>0</v>
      </c>
      <c r="M9" s="33">
        <f ca="1">(SUMIFS($D:$D,$C:$C,L$2,$B:$B,$F9)*0.25)*SUM($I9:L9)</f>
        <v>0</v>
      </c>
      <c r="N9" s="33">
        <f t="shared" ca="1" si="3"/>
        <v>0</v>
      </c>
      <c r="O9" s="33">
        <f ca="1">(SUMIFS($D:$D,$C:$C,N$2,$B:$B,$F9)*0.25)*SUM($I9:N9)</f>
        <v>0</v>
      </c>
      <c r="P9" s="33">
        <f t="shared" ca="1" si="4"/>
        <v>0</v>
      </c>
      <c r="Q9" s="33">
        <f ca="1">(SUMIFS($D:$D,$C:$C,P$2,$B:$B,$F9)*0.25)*SUM($I9:P9)</f>
        <v>0</v>
      </c>
      <c r="R9" s="33">
        <f ca="1">SUM(K9,M9,O9,Q9)</f>
        <v>0</v>
      </c>
      <c r="S9" s="33">
        <f t="shared" ca="1" si="5"/>
        <v>0</v>
      </c>
      <c r="T9" s="33">
        <f ca="1">SUM($K$3:K9,$M$3:M9,$O$3:O9,$Q$3:Q9)</f>
        <v>428.20488580632258</v>
      </c>
    </row>
    <row r="10" spans="2:20" x14ac:dyDescent="0.25">
      <c r="B10">
        <f t="shared" si="8"/>
        <v>2012</v>
      </c>
      <c r="C10" t="s">
        <v>107</v>
      </c>
      <c r="D10">
        <v>1.47E-2</v>
      </c>
      <c r="F10">
        <f t="shared" si="6"/>
        <v>2017</v>
      </c>
      <c r="G10" s="33" t="str">
        <f t="shared" ca="1" si="0"/>
        <v/>
      </c>
      <c r="I10" s="33">
        <f t="shared" ca="1" si="7"/>
        <v>0</v>
      </c>
      <c r="J10" s="33">
        <f t="shared" ca="1" si="1"/>
        <v>0</v>
      </c>
      <c r="K10" s="33">
        <f ca="1">(SUMIFS($D:$D,$C:$C,J$2,$B:$B,$F10)*0.25)*SUM($I10:J10)</f>
        <v>0</v>
      </c>
      <c r="L10" s="33">
        <f t="shared" ca="1" si="2"/>
        <v>0</v>
      </c>
      <c r="M10" s="33">
        <f ca="1">(SUMIFS($D:$D,$C:$C,L$2,$B:$B,$F10)*0.25)*SUM($I10:L10)</f>
        <v>0</v>
      </c>
      <c r="N10" s="33">
        <f t="shared" ca="1" si="3"/>
        <v>0</v>
      </c>
      <c r="O10" s="33">
        <f ca="1">(SUMIFS($D:$D,$C:$C,N$2,$B:$B,$F10)*0.25)*SUM($I10:N10)</f>
        <v>0</v>
      </c>
      <c r="P10" s="33">
        <f t="shared" ca="1" si="4"/>
        <v>0</v>
      </c>
      <c r="Q10" s="33">
        <f ca="1">(SUMIFS($D:$D,$C:$C,P$2,$B:$B,$F10)*0.25)*SUM($I10:P10)</f>
        <v>0</v>
      </c>
      <c r="R10" s="33">
        <f ca="1">SUM(K10,M10,O10,Q10)</f>
        <v>0</v>
      </c>
      <c r="S10" s="33">
        <f t="shared" ca="1" si="5"/>
        <v>0</v>
      </c>
      <c r="T10" s="33">
        <f ca="1">SUM($K$3:K10,$M$3:M10,$O$3:O10,$Q$3:Q10)</f>
        <v>428.20488580632258</v>
      </c>
    </row>
    <row r="11" spans="2:20" x14ac:dyDescent="0.25">
      <c r="B11">
        <f t="shared" si="8"/>
        <v>2012</v>
      </c>
      <c r="C11" t="s">
        <v>108</v>
      </c>
      <c r="D11">
        <v>1.47E-2</v>
      </c>
      <c r="F11">
        <f t="shared" si="6"/>
        <v>2018</v>
      </c>
      <c r="G11" s="33" t="str">
        <f t="shared" ca="1" si="0"/>
        <v/>
      </c>
      <c r="I11" s="33">
        <f t="shared" ca="1" si="7"/>
        <v>0</v>
      </c>
      <c r="J11" s="33">
        <f t="shared" ca="1" si="1"/>
        <v>0</v>
      </c>
      <c r="K11" s="33">
        <f ca="1">(SUMIFS($D:$D,$C:$C,J$2,$B:$B,$F11)*0.25)*SUM($I11:J11)</f>
        <v>0</v>
      </c>
      <c r="L11" s="33">
        <f t="shared" ca="1" si="2"/>
        <v>0</v>
      </c>
      <c r="M11" s="33">
        <f ca="1">(SUMIFS($D:$D,$C:$C,L$2,$B:$B,$F11)*0.25)*SUM($I11:L11)</f>
        <v>0</v>
      </c>
      <c r="N11" s="33">
        <f t="shared" ca="1" si="3"/>
        <v>0</v>
      </c>
      <c r="O11" s="33">
        <f ca="1">(SUMIFS($D:$D,$C:$C,N$2,$B:$B,$F11)*0.25)*SUM($I11:N11)</f>
        <v>0</v>
      </c>
      <c r="P11" s="33">
        <f t="shared" ca="1" si="4"/>
        <v>0</v>
      </c>
      <c r="Q11" s="33">
        <f ca="1">(SUMIFS($D:$D,$C:$C,P$2,$B:$B,$F11)*0.25)*SUM($I11:P11)</f>
        <v>0</v>
      </c>
      <c r="R11" s="33">
        <f ca="1">SUM(K11,M11,O11,Q11)</f>
        <v>0</v>
      </c>
      <c r="S11" s="33">
        <f t="shared" ca="1" si="5"/>
        <v>0</v>
      </c>
      <c r="T11" s="33">
        <f ca="1">SUM($K$3:K11,$M$3:M11,$O$3:O11,$Q$3:Q11)</f>
        <v>428.20488580632258</v>
      </c>
    </row>
    <row r="12" spans="2:20" x14ac:dyDescent="0.25">
      <c r="B12">
        <f>B8+1</f>
        <v>2013</v>
      </c>
      <c r="C12" t="s">
        <v>105</v>
      </c>
      <c r="D12">
        <v>1.47E-2</v>
      </c>
      <c r="F12">
        <f t="shared" si="6"/>
        <v>2019</v>
      </c>
      <c r="G12" s="33" t="str">
        <f t="shared" ca="1" si="0"/>
        <v/>
      </c>
      <c r="I12" s="33">
        <f t="shared" ca="1" si="7"/>
        <v>0</v>
      </c>
      <c r="J12" s="33">
        <f t="shared" ca="1" si="1"/>
        <v>0</v>
      </c>
      <c r="K12" s="33">
        <f ca="1">(SUMIFS($D:$D,$C:$C,J$2,$B:$B,$F12)*0.25)*SUM($I12:J12)</f>
        <v>0</v>
      </c>
      <c r="L12" s="33">
        <f t="shared" ca="1" si="2"/>
        <v>0</v>
      </c>
      <c r="M12" s="33">
        <f ca="1">(SUMIFS($D:$D,$C:$C,L$2,$B:$B,$F12)*0.25)*SUM($I12:L12)</f>
        <v>0</v>
      </c>
      <c r="N12" s="33">
        <f t="shared" ca="1" si="3"/>
        <v>0</v>
      </c>
      <c r="O12" s="33">
        <f ca="1">(SUMIFS($D:$D,$C:$C,N$2,$B:$B,$F12)*0.25)*SUM($I12:N12)</f>
        <v>0</v>
      </c>
      <c r="P12" s="33">
        <f t="shared" ca="1" si="4"/>
        <v>0</v>
      </c>
      <c r="Q12" s="33">
        <f ca="1">(SUMIFS($D:$D,$C:$C,P$2,$B:$B,$F12)*0.25)*SUM($I12:P12)</f>
        <v>0</v>
      </c>
      <c r="R12" s="33">
        <f ca="1">SUM(K12,M12,O12,Q12)</f>
        <v>0</v>
      </c>
      <c r="S12" s="33">
        <f t="shared" ca="1" si="5"/>
        <v>0</v>
      </c>
      <c r="T12" s="33">
        <f ca="1">SUM($K$3:K12,$M$3:M12,$O$3:O12,$Q$3:Q12)</f>
        <v>428.20488580632258</v>
      </c>
    </row>
    <row r="13" spans="2:20" x14ac:dyDescent="0.25">
      <c r="B13">
        <f t="shared" si="8"/>
        <v>2013</v>
      </c>
      <c r="C13" t="s">
        <v>106</v>
      </c>
      <c r="D13">
        <v>1.47E-2</v>
      </c>
      <c r="F13">
        <f t="shared" si="6"/>
        <v>2020</v>
      </c>
      <c r="G13" s="33" t="str">
        <f t="shared" ca="1" si="0"/>
        <v/>
      </c>
      <c r="I13" s="33">
        <f t="shared" ca="1" si="7"/>
        <v>0</v>
      </c>
      <c r="J13" s="33">
        <f t="shared" ca="1" si="1"/>
        <v>0</v>
      </c>
      <c r="K13" s="33">
        <f ca="1">(SUMIFS($D:$D,$C:$C,J$2,$B:$B,$F13)*0.25)*SUM($I13:J13)</f>
        <v>0</v>
      </c>
      <c r="L13" s="33">
        <f t="shared" ca="1" si="2"/>
        <v>0</v>
      </c>
      <c r="M13" s="33">
        <f ca="1">(SUMIFS($D:$D,$C:$C,L$2,$B:$B,$F13)*0.25)*SUM($I13:L13)</f>
        <v>0</v>
      </c>
      <c r="N13" s="33">
        <f t="shared" ca="1" si="3"/>
        <v>0</v>
      </c>
      <c r="O13" s="33">
        <f ca="1">(SUMIFS($D:$D,$C:$C,N$2,$B:$B,$F13)*0.25)*SUM($I13:N13)</f>
        <v>0</v>
      </c>
      <c r="P13" s="33">
        <f t="shared" ca="1" si="4"/>
        <v>0</v>
      </c>
      <c r="Q13" s="33">
        <f ca="1">(SUMIFS($D:$D,$C:$C,P$2,$B:$B,$F13)*0.25)*SUM($I13:P13)</f>
        <v>0</v>
      </c>
      <c r="R13" s="33">
        <f ca="1">SUM(K13,M13,O13,Q13)</f>
        <v>0</v>
      </c>
      <c r="S13" s="33">
        <f t="shared" ca="1" si="5"/>
        <v>0</v>
      </c>
      <c r="T13" s="33">
        <f ca="1">SUM($K$3:K13,$M$3:M13,$O$3:O13,$Q$3:Q13)</f>
        <v>428.20488580632258</v>
      </c>
    </row>
    <row r="14" spans="2:20" x14ac:dyDescent="0.25">
      <c r="B14">
        <f t="shared" si="8"/>
        <v>2013</v>
      </c>
      <c r="C14" t="s">
        <v>107</v>
      </c>
      <c r="D14">
        <v>1.47E-2</v>
      </c>
    </row>
    <row r="15" spans="2:20" x14ac:dyDescent="0.25">
      <c r="B15">
        <f t="shared" si="8"/>
        <v>2013</v>
      </c>
      <c r="C15" t="s">
        <v>108</v>
      </c>
      <c r="D15">
        <v>1.47E-2</v>
      </c>
    </row>
    <row r="16" spans="2:20" x14ac:dyDescent="0.25">
      <c r="B16">
        <f>B12+1</f>
        <v>2014</v>
      </c>
      <c r="C16" t="s">
        <v>105</v>
      </c>
      <c r="D16">
        <v>1.47E-2</v>
      </c>
    </row>
    <row r="17" spans="2:4" x14ac:dyDescent="0.25">
      <c r="B17">
        <f t="shared" si="8"/>
        <v>2014</v>
      </c>
      <c r="C17" t="s">
        <v>106</v>
      </c>
      <c r="D17">
        <v>1.47E-2</v>
      </c>
    </row>
    <row r="18" spans="2:4" x14ac:dyDescent="0.25">
      <c r="B18">
        <f t="shared" si="8"/>
        <v>2014</v>
      </c>
      <c r="C18" t="s">
        <v>107</v>
      </c>
      <c r="D18">
        <v>1.47E-2</v>
      </c>
    </row>
    <row r="19" spans="2:4" x14ac:dyDescent="0.25">
      <c r="B19">
        <f t="shared" si="8"/>
        <v>2014</v>
      </c>
      <c r="C19" t="s">
        <v>108</v>
      </c>
      <c r="D19">
        <v>1.47E-2</v>
      </c>
    </row>
    <row r="20" spans="2:4" x14ac:dyDescent="0.25">
      <c r="B20">
        <f>B16+1</f>
        <v>2015</v>
      </c>
      <c r="C20" t="s">
        <v>105</v>
      </c>
      <c r="D20">
        <v>1.47E-2</v>
      </c>
    </row>
    <row r="21" spans="2:4" x14ac:dyDescent="0.25">
      <c r="B21">
        <f t="shared" si="8"/>
        <v>2015</v>
      </c>
      <c r="C21" t="s">
        <v>106</v>
      </c>
      <c r="D21">
        <v>1.0999999999999999E-2</v>
      </c>
    </row>
    <row r="22" spans="2:4" x14ac:dyDescent="0.25">
      <c r="B22">
        <f t="shared" si="8"/>
        <v>2015</v>
      </c>
      <c r="C22" t="s">
        <v>107</v>
      </c>
      <c r="D22">
        <v>1.0999999999999999E-2</v>
      </c>
    </row>
    <row r="23" spans="2:4" x14ac:dyDescent="0.25">
      <c r="B23">
        <f t="shared" si="8"/>
        <v>2015</v>
      </c>
      <c r="C23" t="s">
        <v>108</v>
      </c>
      <c r="D23">
        <v>1.0999999999999999E-2</v>
      </c>
    </row>
    <row r="24" spans="2:4" x14ac:dyDescent="0.25">
      <c r="B24">
        <f>B20+1</f>
        <v>2016</v>
      </c>
      <c r="C24" t="s">
        <v>105</v>
      </c>
      <c r="D24">
        <v>1.0999999999999999E-2</v>
      </c>
    </row>
    <row r="25" spans="2:4" x14ac:dyDescent="0.25">
      <c r="B25">
        <f t="shared" si="8"/>
        <v>2016</v>
      </c>
      <c r="C25" t="s">
        <v>106</v>
      </c>
      <c r="D25">
        <v>1.0999999999999999E-2</v>
      </c>
    </row>
    <row r="26" spans="2:4" x14ac:dyDescent="0.25">
      <c r="B26">
        <f t="shared" si="8"/>
        <v>2016</v>
      </c>
      <c r="C26" t="s">
        <v>107</v>
      </c>
      <c r="D26">
        <v>1.0999999999999999E-2</v>
      </c>
    </row>
    <row r="27" spans="2:4" x14ac:dyDescent="0.25">
      <c r="B27">
        <f t="shared" si="8"/>
        <v>2016</v>
      </c>
      <c r="C27" t="s">
        <v>108</v>
      </c>
      <c r="D27">
        <v>1.0999999999999999E-2</v>
      </c>
    </row>
    <row r="28" spans="2:4" x14ac:dyDescent="0.25">
      <c r="B28">
        <f>B24+1</f>
        <v>2017</v>
      </c>
      <c r="C28" t="s">
        <v>105</v>
      </c>
    </row>
    <row r="29" spans="2:4" x14ac:dyDescent="0.25">
      <c r="B29">
        <f t="shared" si="8"/>
        <v>2017</v>
      </c>
      <c r="C29" t="s">
        <v>106</v>
      </c>
    </row>
    <row r="30" spans="2:4" x14ac:dyDescent="0.25">
      <c r="B30">
        <f t="shared" si="8"/>
        <v>2017</v>
      </c>
      <c r="C30" t="s">
        <v>107</v>
      </c>
    </row>
    <row r="31" spans="2:4" x14ac:dyDescent="0.25">
      <c r="B31">
        <f t="shared" si="8"/>
        <v>2017</v>
      </c>
      <c r="C31" t="s">
        <v>108</v>
      </c>
    </row>
  </sheetData>
  <mergeCells count="6">
    <mergeCell ref="J2:K2"/>
    <mergeCell ref="J1:P1"/>
    <mergeCell ref="L2:M2"/>
    <mergeCell ref="N2:O2"/>
    <mergeCell ref="P2:Q2"/>
    <mergeCell ref="S2:T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workbookViewId="0">
      <selection activeCell="C1" sqref="C1"/>
    </sheetView>
  </sheetViews>
  <sheetFormatPr defaultRowHeight="15" x14ac:dyDescent="0.25"/>
  <cols>
    <col min="2" max="2" width="50.7109375" bestFit="1" customWidth="1"/>
  </cols>
  <sheetData>
    <row r="1" spans="1:15" ht="45" x14ac:dyDescent="0.25">
      <c r="A1" s="15" t="s">
        <v>29</v>
      </c>
      <c r="B1" s="16" t="s">
        <v>30</v>
      </c>
      <c r="C1" s="17" t="s">
        <v>31</v>
      </c>
      <c r="D1" s="18" t="s">
        <v>32</v>
      </c>
      <c r="E1" s="19" t="s">
        <v>33</v>
      </c>
      <c r="F1" s="20">
        <v>2011</v>
      </c>
      <c r="G1" s="20">
        <v>2012</v>
      </c>
      <c r="H1" s="20">
        <v>2013</v>
      </c>
      <c r="I1" s="20">
        <v>2014</v>
      </c>
      <c r="J1" s="20">
        <v>2015</v>
      </c>
      <c r="K1" s="21">
        <v>2011</v>
      </c>
      <c r="L1" s="21">
        <v>2012</v>
      </c>
      <c r="M1" s="21">
        <v>2013</v>
      </c>
      <c r="N1" s="21">
        <v>2014</v>
      </c>
      <c r="O1" s="32">
        <v>2015</v>
      </c>
    </row>
    <row r="2" spans="1:15" x14ac:dyDescent="0.25">
      <c r="A2" s="22" t="s">
        <v>34</v>
      </c>
      <c r="B2" s="23" t="s">
        <v>35</v>
      </c>
      <c r="C2" s="23" t="s">
        <v>97</v>
      </c>
      <c r="D2" s="24">
        <v>2014</v>
      </c>
      <c r="E2" s="23" t="s">
        <v>98</v>
      </c>
      <c r="F2" s="25">
        <v>0</v>
      </c>
      <c r="G2" s="25">
        <v>0</v>
      </c>
      <c r="H2" s="25">
        <v>0</v>
      </c>
      <c r="I2" s="25">
        <v>5.0261953249999998E-2</v>
      </c>
      <c r="J2" s="25">
        <v>0</v>
      </c>
      <c r="K2" s="26">
        <v>0</v>
      </c>
      <c r="L2" s="26">
        <v>0</v>
      </c>
      <c r="M2" s="26">
        <v>0</v>
      </c>
      <c r="N2" s="26">
        <v>0</v>
      </c>
      <c r="O2" s="26">
        <v>0</v>
      </c>
    </row>
    <row r="3" spans="1:15" x14ac:dyDescent="0.25">
      <c r="A3" s="22" t="s">
        <v>34</v>
      </c>
      <c r="B3" s="23" t="s">
        <v>72</v>
      </c>
      <c r="C3" s="23" t="s">
        <v>97</v>
      </c>
      <c r="D3" s="24">
        <v>2012</v>
      </c>
      <c r="E3" s="23" t="s">
        <v>99</v>
      </c>
      <c r="F3" s="25" t="s">
        <v>36</v>
      </c>
      <c r="G3" s="25">
        <v>1.4287419610000001E-3</v>
      </c>
      <c r="H3" s="25">
        <v>1.4287419610000001E-3</v>
      </c>
      <c r="I3" s="25">
        <v>1.4287419610000001E-3</v>
      </c>
      <c r="J3" s="25">
        <v>1.4287419610000001E-3</v>
      </c>
      <c r="K3" s="26" t="s">
        <v>36</v>
      </c>
      <c r="L3" s="26">
        <v>5.6395002500600002</v>
      </c>
      <c r="M3" s="26">
        <v>5.6395002500600002</v>
      </c>
      <c r="N3" s="26">
        <v>5.6395002500600002</v>
      </c>
      <c r="O3" s="26">
        <v>5.6395002500600002</v>
      </c>
    </row>
    <row r="4" spans="1:15" x14ac:dyDescent="0.25">
      <c r="A4" s="22" t="s">
        <v>34</v>
      </c>
      <c r="B4" s="23" t="s">
        <v>72</v>
      </c>
      <c r="C4" s="23" t="s">
        <v>97</v>
      </c>
      <c r="D4" s="24">
        <v>2013</v>
      </c>
      <c r="E4" s="23" t="s">
        <v>99</v>
      </c>
      <c r="F4" s="25" t="s">
        <v>36</v>
      </c>
      <c r="G4" s="25" t="s">
        <v>36</v>
      </c>
      <c r="H4" s="25">
        <v>3.2128700459999999E-3</v>
      </c>
      <c r="I4" s="25">
        <v>3.2128700459999999E-3</v>
      </c>
      <c r="J4" s="25">
        <v>3.2128700459999999E-3</v>
      </c>
      <c r="K4" s="26" t="s">
        <v>36</v>
      </c>
      <c r="L4" s="26" t="s">
        <v>36</v>
      </c>
      <c r="M4" s="26">
        <v>11.130380258458</v>
      </c>
      <c r="N4" s="26">
        <v>11.130380258458</v>
      </c>
      <c r="O4" s="26">
        <v>11.130380258458</v>
      </c>
    </row>
    <row r="5" spans="1:15" x14ac:dyDescent="0.25">
      <c r="A5" s="22" t="s">
        <v>34</v>
      </c>
      <c r="B5" s="23" t="s">
        <v>14</v>
      </c>
      <c r="C5" s="23" t="s">
        <v>97</v>
      </c>
      <c r="D5" s="24">
        <v>2012</v>
      </c>
      <c r="E5" s="23" t="s">
        <v>98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</row>
    <row r="6" spans="1:15" x14ac:dyDescent="0.25">
      <c r="A6" s="22" t="s">
        <v>34</v>
      </c>
      <c r="B6" s="23" t="s">
        <v>14</v>
      </c>
      <c r="C6" s="23" t="s">
        <v>97</v>
      </c>
      <c r="D6" s="24">
        <v>2013</v>
      </c>
      <c r="E6" s="23" t="s">
        <v>98</v>
      </c>
      <c r="F6" s="25">
        <v>0</v>
      </c>
      <c r="G6" s="25">
        <v>0</v>
      </c>
      <c r="H6" s="25">
        <v>1.0890010889999999E-3</v>
      </c>
      <c r="I6" s="25">
        <v>1.0890010889999999E-3</v>
      </c>
      <c r="J6" s="25">
        <v>1.0890010889999999E-3</v>
      </c>
      <c r="K6" s="26">
        <v>0</v>
      </c>
      <c r="L6" s="26">
        <v>0</v>
      </c>
      <c r="M6" s="26">
        <v>6.8595999140000004</v>
      </c>
      <c r="N6" s="26">
        <v>6.8595999140000004</v>
      </c>
      <c r="O6" s="26">
        <v>6.8595999140000004</v>
      </c>
    </row>
    <row r="7" spans="1:15" x14ac:dyDescent="0.25">
      <c r="A7" s="22" t="s">
        <v>34</v>
      </c>
      <c r="B7" s="23" t="s">
        <v>14</v>
      </c>
      <c r="C7" s="23" t="s">
        <v>97</v>
      </c>
      <c r="D7" s="24">
        <v>2014</v>
      </c>
      <c r="E7" s="23" t="s">
        <v>98</v>
      </c>
      <c r="F7" s="25">
        <v>0</v>
      </c>
      <c r="G7" s="25">
        <v>0</v>
      </c>
      <c r="H7" s="25">
        <v>0</v>
      </c>
      <c r="I7" s="25">
        <v>3.9008039099999996E-2</v>
      </c>
      <c r="J7" s="25">
        <v>3.9008039099999996E-2</v>
      </c>
      <c r="K7" s="26">
        <v>0</v>
      </c>
      <c r="L7" s="26">
        <v>0</v>
      </c>
      <c r="M7" s="26">
        <v>0</v>
      </c>
      <c r="N7" s="26">
        <v>517.82009100000005</v>
      </c>
      <c r="O7" s="26">
        <v>517.82009100000005</v>
      </c>
    </row>
    <row r="8" spans="1:15" x14ac:dyDescent="0.25">
      <c r="A8" s="22" t="s">
        <v>34</v>
      </c>
      <c r="B8" s="23" t="s">
        <v>14</v>
      </c>
      <c r="C8" s="23" t="s">
        <v>97</v>
      </c>
      <c r="D8" s="24">
        <v>2013</v>
      </c>
      <c r="E8" s="23" t="s">
        <v>99</v>
      </c>
      <c r="F8" s="25" t="s">
        <v>36</v>
      </c>
      <c r="G8" s="25" t="s">
        <v>36</v>
      </c>
      <c r="H8" s="25">
        <v>1.9977524901E-2</v>
      </c>
      <c r="I8" s="25">
        <v>1.9977524901E-2</v>
      </c>
      <c r="J8" s="25">
        <v>1.9977524901E-2</v>
      </c>
      <c r="K8" s="26">
        <v>0</v>
      </c>
      <c r="L8" s="26">
        <v>0</v>
      </c>
      <c r="M8" s="26">
        <v>122.52308883567299</v>
      </c>
      <c r="N8" s="26">
        <v>122.52308883567299</v>
      </c>
      <c r="O8" s="26">
        <v>122.52308883567299</v>
      </c>
    </row>
    <row r="9" spans="1:15" x14ac:dyDescent="0.25">
      <c r="A9" s="22" t="s">
        <v>34</v>
      </c>
      <c r="B9" s="23" t="s">
        <v>14</v>
      </c>
      <c r="C9" s="23" t="s">
        <v>97</v>
      </c>
      <c r="D9" s="24">
        <v>2012</v>
      </c>
      <c r="E9" s="23" t="s">
        <v>100</v>
      </c>
      <c r="F9" s="25">
        <v>0</v>
      </c>
      <c r="G9" s="25">
        <v>9.294912012794021E-2</v>
      </c>
      <c r="H9" s="25">
        <v>9.294912012794021E-2</v>
      </c>
      <c r="I9" s="25">
        <v>9.294912012794021E-2</v>
      </c>
      <c r="J9" s="25">
        <v>9.294912012794021E-2</v>
      </c>
      <c r="K9" s="26">
        <v>0</v>
      </c>
      <c r="L9" s="26">
        <v>269.1343283626527</v>
      </c>
      <c r="M9" s="26">
        <v>269.1343283626527</v>
      </c>
      <c r="N9" s="26">
        <v>269.1343283626527</v>
      </c>
      <c r="O9" s="26">
        <v>269.1343283626527</v>
      </c>
    </row>
    <row r="10" spans="1:15" x14ac:dyDescent="0.25">
      <c r="A10" s="22" t="s">
        <v>34</v>
      </c>
      <c r="B10" s="23" t="s">
        <v>14</v>
      </c>
      <c r="C10" s="23" t="s">
        <v>97</v>
      </c>
      <c r="D10" s="24">
        <v>2011</v>
      </c>
      <c r="E10" s="23" t="s">
        <v>101</v>
      </c>
      <c r="F10" s="25">
        <v>6.1916212263444202E-2</v>
      </c>
      <c r="G10" s="25">
        <v>6.1916212263444202E-2</v>
      </c>
      <c r="H10" s="25">
        <v>6.1916212263444202E-2</v>
      </c>
      <c r="I10" s="25">
        <v>6.1916212263444202E-2</v>
      </c>
      <c r="J10" s="25">
        <v>6.1916212263444202E-2</v>
      </c>
      <c r="K10" s="26">
        <v>340.67630910094448</v>
      </c>
      <c r="L10" s="26">
        <v>340.67630910094448</v>
      </c>
      <c r="M10" s="26">
        <v>340.67630910094448</v>
      </c>
      <c r="N10" s="26">
        <v>340.67630910094448</v>
      </c>
      <c r="O10" s="26">
        <v>340.67630910094448</v>
      </c>
    </row>
    <row r="11" spans="1:15" x14ac:dyDescent="0.25">
      <c r="A11" s="22" t="s">
        <v>37</v>
      </c>
      <c r="B11" s="23" t="s">
        <v>38</v>
      </c>
      <c r="C11" s="23" t="s">
        <v>97</v>
      </c>
      <c r="D11" s="24">
        <v>2011</v>
      </c>
      <c r="E11" s="23" t="s">
        <v>101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</row>
    <row r="12" spans="1:15" x14ac:dyDescent="0.25">
      <c r="A12" s="22" t="s">
        <v>37</v>
      </c>
      <c r="B12" s="23" t="s">
        <v>39</v>
      </c>
      <c r="C12" s="23" t="s">
        <v>97</v>
      </c>
      <c r="D12" s="24">
        <v>2014</v>
      </c>
      <c r="E12" s="23" t="s">
        <v>98</v>
      </c>
      <c r="F12" s="25">
        <v>0</v>
      </c>
      <c r="G12" s="25">
        <v>0</v>
      </c>
      <c r="H12" s="25">
        <v>0</v>
      </c>
      <c r="I12" s="25">
        <v>1.6950349999999999E-2</v>
      </c>
      <c r="J12" s="25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</row>
    <row r="13" spans="1:15" x14ac:dyDescent="0.25">
      <c r="A13" s="22" t="s">
        <v>37</v>
      </c>
      <c r="B13" s="23" t="s">
        <v>2</v>
      </c>
      <c r="C13" s="23" t="s">
        <v>97</v>
      </c>
      <c r="D13" s="24">
        <v>2013</v>
      </c>
      <c r="E13" s="23" t="s">
        <v>98</v>
      </c>
      <c r="F13" s="25">
        <v>0</v>
      </c>
      <c r="G13" s="25">
        <v>0</v>
      </c>
      <c r="H13" s="25">
        <v>9.2115265099999995E-4</v>
      </c>
      <c r="I13" s="25">
        <v>9.2115265099999995E-4</v>
      </c>
      <c r="J13" s="25">
        <v>9.2115265099999995E-4</v>
      </c>
      <c r="K13" s="26">
        <v>0</v>
      </c>
      <c r="L13" s="26">
        <v>0</v>
      </c>
      <c r="M13" s="26">
        <v>1.6500041293999999</v>
      </c>
      <c r="N13" s="26">
        <v>1.6500041293999999</v>
      </c>
      <c r="O13" s="26">
        <v>1.6500041293999999</v>
      </c>
    </row>
    <row r="14" spans="1:15" x14ac:dyDescent="0.25">
      <c r="A14" s="22" t="s">
        <v>37</v>
      </c>
      <c r="B14" s="23" t="s">
        <v>2</v>
      </c>
      <c r="C14" s="23" t="s">
        <v>97</v>
      </c>
      <c r="D14" s="24">
        <v>2014</v>
      </c>
      <c r="E14" s="23" t="s">
        <v>98</v>
      </c>
      <c r="F14" s="25">
        <v>0</v>
      </c>
      <c r="G14" s="25">
        <v>0</v>
      </c>
      <c r="H14" s="25">
        <v>0</v>
      </c>
      <c r="I14" s="25">
        <v>2.8820905144E-2</v>
      </c>
      <c r="J14" s="25">
        <v>2.8820905144E-2</v>
      </c>
      <c r="K14" s="26">
        <v>0</v>
      </c>
      <c r="L14" s="26">
        <v>0</v>
      </c>
      <c r="M14" s="26">
        <v>0</v>
      </c>
      <c r="N14" s="26">
        <v>55.115777831999999</v>
      </c>
      <c r="O14" s="26">
        <v>55.115777831999999</v>
      </c>
    </row>
    <row r="15" spans="1:15" x14ac:dyDescent="0.25">
      <c r="A15" s="22" t="s">
        <v>37</v>
      </c>
      <c r="B15" s="23" t="s">
        <v>2</v>
      </c>
      <c r="C15" s="23" t="s">
        <v>97</v>
      </c>
      <c r="D15" s="24">
        <v>2012</v>
      </c>
      <c r="E15" s="23" t="s">
        <v>100</v>
      </c>
      <c r="F15" s="25">
        <v>0</v>
      </c>
      <c r="G15" s="25">
        <v>2.0638316134900338E-2</v>
      </c>
      <c r="H15" s="25">
        <v>2.0638316134900338E-2</v>
      </c>
      <c r="I15" s="25">
        <v>2.0638316134900338E-2</v>
      </c>
      <c r="J15" s="25">
        <v>2.0638316134900338E-2</v>
      </c>
      <c r="K15" s="26">
        <v>0</v>
      </c>
      <c r="L15" s="26">
        <v>38.766567338592637</v>
      </c>
      <c r="M15" s="26">
        <v>38.766567338592637</v>
      </c>
      <c r="N15" s="26">
        <v>38.766567338592637</v>
      </c>
      <c r="O15" s="26">
        <v>38.766567338592637</v>
      </c>
    </row>
    <row r="16" spans="1:15" x14ac:dyDescent="0.25">
      <c r="A16" s="22" t="s">
        <v>37</v>
      </c>
      <c r="B16" s="23" t="s">
        <v>2</v>
      </c>
      <c r="C16" s="23" t="s">
        <v>97</v>
      </c>
      <c r="D16" s="24">
        <v>2011</v>
      </c>
      <c r="E16" s="23" t="s">
        <v>100</v>
      </c>
      <c r="F16" s="25">
        <v>-5.4691772951281949E-3</v>
      </c>
      <c r="G16" s="25">
        <v>-5.4691772951281949E-3</v>
      </c>
      <c r="H16" s="25">
        <v>-5.4691772951281949E-3</v>
      </c>
      <c r="I16" s="25">
        <v>-5.4691772951281949E-3</v>
      </c>
      <c r="J16" s="25">
        <v>-5.4691772951281949E-3</v>
      </c>
      <c r="K16" s="26">
        <v>-10.571716190241629</v>
      </c>
      <c r="L16" s="26">
        <v>-10.571716190241629</v>
      </c>
      <c r="M16" s="26">
        <v>-10.571716190241629</v>
      </c>
      <c r="N16" s="26">
        <v>-10.571716190241629</v>
      </c>
      <c r="O16" s="26">
        <v>-10.571716190241629</v>
      </c>
    </row>
    <row r="17" spans="1:15" x14ac:dyDescent="0.25">
      <c r="A17" s="22" t="s">
        <v>37</v>
      </c>
      <c r="B17" s="23" t="s">
        <v>2</v>
      </c>
      <c r="C17" s="23" t="s">
        <v>97</v>
      </c>
      <c r="D17" s="24">
        <v>2011</v>
      </c>
      <c r="E17" s="23" t="s">
        <v>101</v>
      </c>
      <c r="F17" s="25">
        <v>3.1068265333438459E-2</v>
      </c>
      <c r="G17" s="25">
        <v>3.1068265333438459E-2</v>
      </c>
      <c r="H17" s="25">
        <v>3.1068265333438459E-2</v>
      </c>
      <c r="I17" s="25">
        <v>3.1068265333438459E-2</v>
      </c>
      <c r="J17" s="25">
        <v>3.1068265333438459E-2</v>
      </c>
      <c r="K17" s="26">
        <v>61.704381159641393</v>
      </c>
      <c r="L17" s="26">
        <v>61.704381159641393</v>
      </c>
      <c r="M17" s="26">
        <v>61.704381159641393</v>
      </c>
      <c r="N17" s="26">
        <v>61.704381159641393</v>
      </c>
      <c r="O17" s="26">
        <v>61.704381159641393</v>
      </c>
    </row>
    <row r="18" spans="1:15" x14ac:dyDescent="0.25">
      <c r="A18" s="22" t="s">
        <v>37</v>
      </c>
      <c r="B18" s="23" t="s">
        <v>75</v>
      </c>
      <c r="C18" s="23" t="s">
        <v>97</v>
      </c>
      <c r="D18" s="24">
        <v>2013</v>
      </c>
      <c r="E18" s="23" t="s">
        <v>99</v>
      </c>
      <c r="F18" s="25" t="s">
        <v>36</v>
      </c>
      <c r="G18" s="25" t="s">
        <v>36</v>
      </c>
      <c r="H18" s="25">
        <v>2.5322670711999999E-2</v>
      </c>
      <c r="I18" s="25">
        <v>2.5322670711999999E-2</v>
      </c>
      <c r="J18" s="25">
        <v>2.5322670711999999E-2</v>
      </c>
      <c r="K18" s="26" t="s">
        <v>36</v>
      </c>
      <c r="L18" s="26" t="s">
        <v>36</v>
      </c>
      <c r="M18" s="26">
        <v>47.983528767304001</v>
      </c>
      <c r="N18" s="26">
        <v>47.983528767304009</v>
      </c>
      <c r="O18" s="26">
        <v>47.983528767304009</v>
      </c>
    </row>
    <row r="19" spans="1:15" x14ac:dyDescent="0.25">
      <c r="A19" s="22" t="s">
        <v>37</v>
      </c>
      <c r="B19" s="23" t="s">
        <v>75</v>
      </c>
      <c r="C19" s="23" t="s">
        <v>97</v>
      </c>
      <c r="D19" s="24">
        <v>2012</v>
      </c>
      <c r="E19" s="23" t="s">
        <v>99</v>
      </c>
      <c r="F19" s="25" t="s">
        <v>36</v>
      </c>
      <c r="G19" s="25">
        <v>9.4306268300000003E-4</v>
      </c>
      <c r="H19" s="25">
        <v>9.4306268300000003E-4</v>
      </c>
      <c r="I19" s="25">
        <v>9.4306268300000003E-4</v>
      </c>
      <c r="J19" s="25">
        <v>9.4306268300000003E-4</v>
      </c>
      <c r="K19" s="26" t="s">
        <v>36</v>
      </c>
      <c r="L19" s="26">
        <v>1.8469927071649999</v>
      </c>
      <c r="M19" s="26">
        <v>1.8469927071649999</v>
      </c>
      <c r="N19" s="26">
        <v>1.8469927071649999</v>
      </c>
      <c r="O19" s="26">
        <v>1.8469927071649999</v>
      </c>
    </row>
    <row r="20" spans="1:15" x14ac:dyDescent="0.25">
      <c r="A20" s="22" t="s">
        <v>37</v>
      </c>
      <c r="B20" s="23" t="s">
        <v>75</v>
      </c>
      <c r="C20" s="23" t="s">
        <v>97</v>
      </c>
      <c r="D20" s="24">
        <v>2012</v>
      </c>
      <c r="E20" s="23" t="s">
        <v>99</v>
      </c>
      <c r="F20" s="25">
        <v>0</v>
      </c>
      <c r="G20" s="25">
        <v>4.5727500365913299E-6</v>
      </c>
      <c r="H20" s="25">
        <v>4.5727500365913299E-6</v>
      </c>
      <c r="I20" s="25">
        <v>4.5727500365913299E-6</v>
      </c>
      <c r="J20" s="25">
        <v>4.5727500365913299E-6</v>
      </c>
      <c r="K20" s="26">
        <v>0</v>
      </c>
      <c r="L20" s="26">
        <v>9.2970029541882444E-3</v>
      </c>
      <c r="M20" s="26">
        <v>9.2970029541882444E-3</v>
      </c>
      <c r="N20" s="26">
        <v>9.2970029541882444E-3</v>
      </c>
      <c r="O20" s="26">
        <v>9.2970029541882444E-3</v>
      </c>
    </row>
    <row r="21" spans="1:15" x14ac:dyDescent="0.25">
      <c r="A21" s="22" t="s">
        <v>37</v>
      </c>
      <c r="B21" s="23" t="s">
        <v>6</v>
      </c>
      <c r="C21" s="23" t="s">
        <v>97</v>
      </c>
      <c r="D21" s="24">
        <v>2012</v>
      </c>
      <c r="E21" s="23" t="s">
        <v>98</v>
      </c>
      <c r="F21" s="25">
        <v>0</v>
      </c>
      <c r="G21" s="25">
        <v>9.1400002999999987E-5</v>
      </c>
      <c r="H21" s="25">
        <v>9.1400002999999987E-5</v>
      </c>
      <c r="I21" s="25">
        <v>9.1400002999999987E-5</v>
      </c>
      <c r="J21" s="25">
        <v>9.1400002999999987E-5</v>
      </c>
      <c r="K21" s="26">
        <v>0.88300000000000001</v>
      </c>
      <c r="L21" s="26">
        <v>0.88300000000000001</v>
      </c>
      <c r="M21" s="26">
        <v>0.88300000000000001</v>
      </c>
      <c r="N21" s="26">
        <v>0.88300000000000001</v>
      </c>
      <c r="O21" s="26">
        <v>0.88300000000000001</v>
      </c>
    </row>
    <row r="22" spans="1:15" x14ac:dyDescent="0.25">
      <c r="A22" s="22" t="s">
        <v>37</v>
      </c>
      <c r="B22" s="23" t="s">
        <v>6</v>
      </c>
      <c r="C22" s="23" t="s">
        <v>97</v>
      </c>
      <c r="D22" s="24">
        <v>2013</v>
      </c>
      <c r="E22" s="23" t="s">
        <v>98</v>
      </c>
      <c r="F22" s="25">
        <v>0</v>
      </c>
      <c r="G22" s="25">
        <v>0</v>
      </c>
      <c r="H22" s="25">
        <v>8.7983257499999997E-4</v>
      </c>
      <c r="I22" s="25">
        <v>8.7784564299999996E-4</v>
      </c>
      <c r="J22" s="25">
        <v>8.7766501199999997E-4</v>
      </c>
      <c r="K22" s="26">
        <v>0</v>
      </c>
      <c r="L22" s="26">
        <v>0</v>
      </c>
      <c r="M22" s="26">
        <v>7.9976251220000005</v>
      </c>
      <c r="N22" s="26">
        <v>7.9589322359999999</v>
      </c>
      <c r="O22" s="26">
        <v>7.9554147030000006</v>
      </c>
    </row>
    <row r="23" spans="1:15" x14ac:dyDescent="0.25">
      <c r="A23" s="22" t="s">
        <v>37</v>
      </c>
      <c r="B23" s="23" t="s">
        <v>6</v>
      </c>
      <c r="C23" s="23" t="s">
        <v>97</v>
      </c>
      <c r="D23" s="24">
        <v>2014</v>
      </c>
      <c r="E23" s="23" t="s">
        <v>98</v>
      </c>
      <c r="F23" s="25">
        <v>0</v>
      </c>
      <c r="G23" s="25">
        <v>0</v>
      </c>
      <c r="H23" s="25">
        <v>0</v>
      </c>
      <c r="I23" s="25">
        <v>2.8647613789999997E-3</v>
      </c>
      <c r="J23" s="25">
        <v>2.8636356620000002E-3</v>
      </c>
      <c r="K23" s="26">
        <v>0</v>
      </c>
      <c r="L23" s="26">
        <v>0</v>
      </c>
      <c r="M23" s="26">
        <v>0</v>
      </c>
      <c r="N23" s="26">
        <v>32.836041559999998</v>
      </c>
      <c r="O23" s="26">
        <v>32.814119689999998</v>
      </c>
    </row>
    <row r="24" spans="1:15" x14ac:dyDescent="0.25">
      <c r="A24" s="22" t="s">
        <v>37</v>
      </c>
      <c r="B24" s="23" t="s">
        <v>6</v>
      </c>
      <c r="C24" s="23" t="s">
        <v>97</v>
      </c>
      <c r="D24" s="24">
        <v>2013</v>
      </c>
      <c r="E24" s="23" t="s">
        <v>99</v>
      </c>
      <c r="F24" s="25">
        <v>0</v>
      </c>
      <c r="G24" s="25">
        <v>0</v>
      </c>
      <c r="H24" s="25">
        <v>2.5302951079999997E-3</v>
      </c>
      <c r="I24" s="25">
        <v>2.4936188719999999E-3</v>
      </c>
      <c r="J24" s="25">
        <v>2.4902846650000001E-3</v>
      </c>
      <c r="K24" s="26">
        <v>0</v>
      </c>
      <c r="L24" s="26">
        <v>0</v>
      </c>
      <c r="M24" s="26">
        <v>33.346461601256998</v>
      </c>
      <c r="N24" s="26">
        <v>32.640420021057004</v>
      </c>
      <c r="O24" s="26">
        <v>32.576234474182002</v>
      </c>
    </row>
    <row r="25" spans="1:15" x14ac:dyDescent="0.25">
      <c r="A25" s="22" t="s">
        <v>37</v>
      </c>
      <c r="B25" s="23" t="s">
        <v>6</v>
      </c>
      <c r="C25" s="23" t="s">
        <v>97</v>
      </c>
      <c r="D25" s="24">
        <v>2012</v>
      </c>
      <c r="E25" s="23" t="s">
        <v>100</v>
      </c>
      <c r="F25" s="25">
        <v>0</v>
      </c>
      <c r="G25" s="25">
        <v>1.0882544356863946E-3</v>
      </c>
      <c r="H25" s="25">
        <v>1.0745406157802789E-3</v>
      </c>
      <c r="I25" s="25">
        <v>1.0745406157802789E-3</v>
      </c>
      <c r="J25" s="25">
        <v>1.0745406157802789E-3</v>
      </c>
      <c r="K25" s="26">
        <v>0</v>
      </c>
      <c r="L25" s="26">
        <v>10.379371139526366</v>
      </c>
      <c r="M25" s="26">
        <v>10.379371093750001</v>
      </c>
      <c r="N25" s="26">
        <v>10.379371093750001</v>
      </c>
      <c r="O25" s="26">
        <v>10.115371139526367</v>
      </c>
    </row>
    <row r="26" spans="1:15" x14ac:dyDescent="0.25">
      <c r="A26" s="22" t="s">
        <v>34</v>
      </c>
      <c r="B26" s="23" t="s">
        <v>8</v>
      </c>
      <c r="C26" s="23" t="s">
        <v>97</v>
      </c>
      <c r="D26" s="24">
        <v>2012</v>
      </c>
      <c r="E26" s="23" t="s">
        <v>98</v>
      </c>
      <c r="F26" s="25">
        <v>0</v>
      </c>
      <c r="G26" s="25">
        <v>1.9105E-2</v>
      </c>
      <c r="H26" s="25">
        <v>1.9105E-2</v>
      </c>
      <c r="I26" s="25">
        <v>1.9105E-2</v>
      </c>
      <c r="J26" s="25">
        <v>1.9105E-2</v>
      </c>
      <c r="K26" s="26">
        <v>0</v>
      </c>
      <c r="L26" s="26">
        <v>98.123279999999994</v>
      </c>
      <c r="M26" s="26">
        <v>98.123279999999994</v>
      </c>
      <c r="N26" s="26">
        <v>98.123279999999994</v>
      </c>
      <c r="O26" s="26">
        <v>98.123279999999994</v>
      </c>
    </row>
    <row r="27" spans="1:15" x14ac:dyDescent="0.25">
      <c r="A27" s="22" t="s">
        <v>34</v>
      </c>
      <c r="B27" s="23" t="s">
        <v>8</v>
      </c>
      <c r="C27" s="23" t="s">
        <v>97</v>
      </c>
      <c r="D27" s="24">
        <v>2012</v>
      </c>
      <c r="E27" s="23" t="s">
        <v>100</v>
      </c>
      <c r="F27" s="25">
        <v>0</v>
      </c>
      <c r="G27" s="25">
        <v>1.265744935122605E-4</v>
      </c>
      <c r="H27" s="25">
        <v>1.265744935122605E-4</v>
      </c>
      <c r="I27" s="25">
        <v>1.265744935122605E-4</v>
      </c>
      <c r="J27" s="25">
        <v>1.265744935122605E-4</v>
      </c>
      <c r="K27" s="26">
        <v>0</v>
      </c>
      <c r="L27" s="26">
        <v>0.12262996184054875</v>
      </c>
      <c r="M27" s="26">
        <v>0.12262996184054875</v>
      </c>
      <c r="N27" s="26">
        <v>0.12262996184054875</v>
      </c>
      <c r="O27" s="26">
        <v>0.12262996184054875</v>
      </c>
    </row>
    <row r="28" spans="1:15" x14ac:dyDescent="0.25">
      <c r="A28" s="22" t="s">
        <v>34</v>
      </c>
      <c r="B28" s="23" t="s">
        <v>8</v>
      </c>
      <c r="C28" s="23" t="s">
        <v>97</v>
      </c>
      <c r="D28" s="24">
        <v>2011</v>
      </c>
      <c r="E28" s="23" t="s">
        <v>100</v>
      </c>
      <c r="F28" s="25">
        <v>-5.4262961572744406E-5</v>
      </c>
      <c r="G28" s="25">
        <v>-5.4262961572744406E-5</v>
      </c>
      <c r="H28" s="25">
        <v>-5.4262961572744406E-5</v>
      </c>
      <c r="I28" s="25">
        <v>-5.4262961572744406E-5</v>
      </c>
      <c r="J28" s="25">
        <v>-5.4262961572744399E-5</v>
      </c>
      <c r="K28" s="26">
        <v>-144.54729457063766</v>
      </c>
      <c r="L28" s="26">
        <v>-144.54729457063766</v>
      </c>
      <c r="M28" s="26">
        <v>-144.54729457063766</v>
      </c>
      <c r="N28" s="26">
        <v>-144.54729457063766</v>
      </c>
      <c r="O28" s="26">
        <v>-144.547294570638</v>
      </c>
    </row>
    <row r="29" spans="1:15" x14ac:dyDescent="0.25">
      <c r="A29" s="22" t="s">
        <v>34</v>
      </c>
      <c r="B29" s="23" t="s">
        <v>8</v>
      </c>
      <c r="C29" s="23" t="s">
        <v>97</v>
      </c>
      <c r="D29" s="24">
        <v>2011</v>
      </c>
      <c r="E29" s="23" t="s">
        <v>101</v>
      </c>
      <c r="F29" s="25">
        <v>4.6404262961572747E-2</v>
      </c>
      <c r="G29" s="25">
        <v>4.6404262961572747E-2</v>
      </c>
      <c r="H29" s="25">
        <v>4.6404262961572747E-2</v>
      </c>
      <c r="I29" s="25">
        <v>4.6404262961572747E-2</v>
      </c>
      <c r="J29" s="25">
        <v>4.6404262961572747E-2</v>
      </c>
      <c r="K29" s="26">
        <v>238.33229457063766</v>
      </c>
      <c r="L29" s="26">
        <v>238.33229457063766</v>
      </c>
      <c r="M29" s="26">
        <v>238.33229457063766</v>
      </c>
      <c r="N29" s="26">
        <v>238.33229457063766</v>
      </c>
      <c r="O29" s="26">
        <v>238.33229457063766</v>
      </c>
    </row>
    <row r="30" spans="1:15" x14ac:dyDescent="0.25">
      <c r="A30" s="22" t="s">
        <v>40</v>
      </c>
      <c r="B30" s="23" t="s">
        <v>102</v>
      </c>
      <c r="C30" s="23" t="s">
        <v>97</v>
      </c>
      <c r="D30" s="24">
        <v>2012</v>
      </c>
      <c r="E30" s="23" t="s">
        <v>98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</row>
    <row r="31" spans="1:15" x14ac:dyDescent="0.25">
      <c r="A31" s="22" t="s">
        <v>40</v>
      </c>
      <c r="B31" s="23" t="s">
        <v>102</v>
      </c>
      <c r="C31" s="23" t="s">
        <v>97</v>
      </c>
      <c r="D31" s="24">
        <v>2013</v>
      </c>
      <c r="E31" s="23" t="s">
        <v>98</v>
      </c>
      <c r="F31" s="25">
        <v>0</v>
      </c>
      <c r="G31" s="25">
        <v>0</v>
      </c>
      <c r="H31" s="25">
        <v>1.77498E-4</v>
      </c>
      <c r="I31" s="25">
        <v>1.77498E-4</v>
      </c>
      <c r="J31" s="25">
        <v>1.77498E-4</v>
      </c>
      <c r="K31" s="26">
        <v>0</v>
      </c>
      <c r="L31" s="26">
        <v>0</v>
      </c>
      <c r="M31" s="26">
        <v>10.731482309999999</v>
      </c>
      <c r="N31" s="26">
        <v>13.10559231</v>
      </c>
      <c r="O31" s="26">
        <v>13.10559231</v>
      </c>
    </row>
    <row r="32" spans="1:15" x14ac:dyDescent="0.25">
      <c r="A32" s="22" t="s">
        <v>34</v>
      </c>
      <c r="B32" s="23" t="s">
        <v>13</v>
      </c>
      <c r="C32" s="23" t="s">
        <v>97</v>
      </c>
      <c r="D32" s="24">
        <v>2011</v>
      </c>
      <c r="E32" s="23" t="s">
        <v>101</v>
      </c>
      <c r="F32" s="25">
        <v>1.3497484000000001E-3</v>
      </c>
      <c r="G32" s="25">
        <v>1.3497484000000001E-3</v>
      </c>
      <c r="H32" s="25">
        <v>1.3497484000000001E-3</v>
      </c>
      <c r="I32" s="25">
        <v>1.3497484000000001E-3</v>
      </c>
      <c r="J32" s="25">
        <v>1.3497484000000001E-3</v>
      </c>
      <c r="K32" s="26">
        <v>7.8429830278799999</v>
      </c>
      <c r="L32" s="26">
        <v>7.8429830278799999</v>
      </c>
      <c r="M32" s="26">
        <v>7.8429830278799999</v>
      </c>
      <c r="N32" s="26">
        <v>7.8429830278799999</v>
      </c>
      <c r="O32" s="26">
        <v>7.8429830278799999</v>
      </c>
    </row>
    <row r="33" spans="1:15" x14ac:dyDescent="0.25">
      <c r="A33" s="22" t="s">
        <v>40</v>
      </c>
      <c r="B33" s="23" t="s">
        <v>41</v>
      </c>
      <c r="C33" s="23" t="s">
        <v>97</v>
      </c>
      <c r="D33" s="24">
        <v>2013</v>
      </c>
      <c r="E33" s="23" t="s">
        <v>99</v>
      </c>
      <c r="F33" s="25" t="s">
        <v>36</v>
      </c>
      <c r="G33" s="25" t="s">
        <v>36</v>
      </c>
      <c r="H33" s="25">
        <v>0.14972909999999998</v>
      </c>
      <c r="I33" s="25" t="s">
        <v>36</v>
      </c>
      <c r="J33" s="25" t="s">
        <v>36</v>
      </c>
      <c r="K33" s="26" t="s">
        <v>36</v>
      </c>
      <c r="L33" s="26" t="s">
        <v>36</v>
      </c>
      <c r="M33" s="26">
        <v>5.7951679999999994</v>
      </c>
      <c r="N33" s="26" t="s">
        <v>36</v>
      </c>
      <c r="O33" s="26" t="s">
        <v>36</v>
      </c>
    </row>
    <row r="34" spans="1:15" x14ac:dyDescent="0.25">
      <c r="A34" s="22" t="s">
        <v>34</v>
      </c>
      <c r="B34" s="23" t="s">
        <v>7</v>
      </c>
      <c r="C34" s="23" t="s">
        <v>97</v>
      </c>
      <c r="D34" s="24">
        <v>2014</v>
      </c>
      <c r="E34" s="23" t="s">
        <v>98</v>
      </c>
      <c r="F34" s="25">
        <v>0</v>
      </c>
      <c r="G34" s="25">
        <v>0</v>
      </c>
      <c r="H34" s="25">
        <v>0</v>
      </c>
      <c r="I34" s="25">
        <v>7.3802638800000001E-2</v>
      </c>
      <c r="J34" s="25">
        <v>7.3049950949999998E-2</v>
      </c>
      <c r="K34" s="26">
        <v>0</v>
      </c>
      <c r="L34" s="26">
        <v>0</v>
      </c>
      <c r="M34" s="26">
        <v>0</v>
      </c>
      <c r="N34" s="26">
        <v>269.1771602</v>
      </c>
      <c r="O34" s="26">
        <v>266.58186940000002</v>
      </c>
    </row>
    <row r="35" spans="1:15" x14ac:dyDescent="0.25">
      <c r="A35" s="22" t="s">
        <v>34</v>
      </c>
      <c r="B35" s="23" t="s">
        <v>7</v>
      </c>
      <c r="C35" s="23" t="s">
        <v>97</v>
      </c>
      <c r="D35" s="24">
        <v>2012</v>
      </c>
      <c r="E35" s="23" t="s">
        <v>100</v>
      </c>
      <c r="F35" s="25">
        <v>0</v>
      </c>
      <c r="G35" s="25">
        <v>6.044144630225648E-2</v>
      </c>
      <c r="H35" s="25">
        <v>6.044144630225648E-2</v>
      </c>
      <c r="I35" s="25">
        <v>6.044144630225648E-2</v>
      </c>
      <c r="J35" s="25">
        <v>4.4961421953827338E-2</v>
      </c>
      <c r="K35" s="26">
        <v>0</v>
      </c>
      <c r="L35" s="26">
        <v>225.55494849308829</v>
      </c>
      <c r="M35" s="26">
        <v>225.5549484930884</v>
      </c>
      <c r="N35" s="26">
        <v>225.5549484930884</v>
      </c>
      <c r="O35" s="26">
        <v>163.66671692541721</v>
      </c>
    </row>
    <row r="36" spans="1:15" x14ac:dyDescent="0.25">
      <c r="A36" s="22" t="s">
        <v>34</v>
      </c>
      <c r="B36" s="23" t="s">
        <v>7</v>
      </c>
      <c r="C36" s="23" t="s">
        <v>97</v>
      </c>
      <c r="D36" s="24">
        <v>2011</v>
      </c>
      <c r="E36" s="23" t="s">
        <v>100</v>
      </c>
      <c r="F36" s="25">
        <v>2.622307150536309E-3</v>
      </c>
      <c r="G36" s="25">
        <v>2.622307150536309E-3</v>
      </c>
      <c r="H36" s="25">
        <v>2.622307150536309E-3</v>
      </c>
      <c r="I36" s="25">
        <v>2.5370476034626329E-3</v>
      </c>
      <c r="J36" s="25">
        <v>2.5370476034626329E-3</v>
      </c>
      <c r="K36" s="26">
        <v>5.1372572651746236</v>
      </c>
      <c r="L36" s="26">
        <v>5.1372572651746236</v>
      </c>
      <c r="M36" s="26">
        <v>5.1372572651746236</v>
      </c>
      <c r="N36" s="26">
        <v>4.9400126617645128</v>
      </c>
      <c r="O36" s="26">
        <v>4.9400126617645128</v>
      </c>
    </row>
    <row r="37" spans="1:15" x14ac:dyDescent="0.25">
      <c r="A37" s="22" t="s">
        <v>34</v>
      </c>
      <c r="B37" s="23" t="s">
        <v>7</v>
      </c>
      <c r="C37" s="23" t="s">
        <v>97</v>
      </c>
      <c r="D37" s="24">
        <v>2011</v>
      </c>
      <c r="E37" s="23" t="s">
        <v>101</v>
      </c>
      <c r="F37" s="25">
        <v>0.10612394082985431</v>
      </c>
      <c r="G37" s="25">
        <v>0.10612394082985431</v>
      </c>
      <c r="H37" s="25">
        <v>0.10612394082985431</v>
      </c>
      <c r="I37" s="25">
        <v>7.5402852138334087E-2</v>
      </c>
      <c r="J37" s="25">
        <v>7.5402852138334087E-2</v>
      </c>
      <c r="K37" s="26">
        <v>267.16905724355416</v>
      </c>
      <c r="L37" s="26">
        <v>267.16905724355416</v>
      </c>
      <c r="M37" s="26">
        <v>267.16905724355416</v>
      </c>
      <c r="N37" s="26">
        <v>182.28973185478486</v>
      </c>
      <c r="O37" s="26">
        <v>182.28973185478486</v>
      </c>
    </row>
    <row r="38" spans="1:15" x14ac:dyDescent="0.25">
      <c r="A38" s="22" t="s">
        <v>34</v>
      </c>
      <c r="B38" s="23" t="s">
        <v>42</v>
      </c>
      <c r="C38" s="23" t="s">
        <v>97</v>
      </c>
      <c r="D38" s="24">
        <v>2011</v>
      </c>
      <c r="E38" s="23" t="s">
        <v>101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</row>
    <row r="39" spans="1:15" x14ac:dyDescent="0.25">
      <c r="A39" s="22" t="s">
        <v>40</v>
      </c>
      <c r="B39" s="23" t="s">
        <v>43</v>
      </c>
      <c r="C39" s="23" t="s">
        <v>97</v>
      </c>
      <c r="D39" s="24">
        <v>2014</v>
      </c>
      <c r="E39" s="23" t="s">
        <v>98</v>
      </c>
      <c r="F39" s="25">
        <v>0</v>
      </c>
      <c r="G39" s="25">
        <v>0</v>
      </c>
      <c r="H39" s="25">
        <v>0</v>
      </c>
      <c r="I39" s="25">
        <v>6.4169619999999997E-2</v>
      </c>
      <c r="J39" s="25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</row>
    <row r="40" spans="1:15" x14ac:dyDescent="0.25">
      <c r="A40" s="22" t="s">
        <v>40</v>
      </c>
      <c r="B40" s="23" t="s">
        <v>43</v>
      </c>
      <c r="C40" s="23" t="s">
        <v>97</v>
      </c>
      <c r="D40" s="24">
        <v>2012</v>
      </c>
      <c r="E40" s="23" t="s">
        <v>100</v>
      </c>
      <c r="F40" s="25">
        <v>0</v>
      </c>
      <c r="G40" s="25">
        <v>0.1527769075</v>
      </c>
      <c r="H40" s="25">
        <v>0</v>
      </c>
      <c r="I40" s="25">
        <v>0</v>
      </c>
      <c r="J40" s="25">
        <v>0</v>
      </c>
      <c r="K40" s="26">
        <v>0</v>
      </c>
      <c r="L40" s="26">
        <v>3.6818569999999999</v>
      </c>
      <c r="M40" s="26">
        <v>0</v>
      </c>
      <c r="N40" s="26">
        <v>0</v>
      </c>
      <c r="O40" s="26">
        <v>0</v>
      </c>
    </row>
    <row r="41" spans="1:15" x14ac:dyDescent="0.25">
      <c r="A41" s="22" t="s">
        <v>40</v>
      </c>
      <c r="B41" s="23" t="s">
        <v>43</v>
      </c>
      <c r="C41" s="23" t="s">
        <v>97</v>
      </c>
      <c r="D41" s="24">
        <v>2011</v>
      </c>
      <c r="E41" s="23" t="s">
        <v>101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</row>
    <row r="42" spans="1:15" x14ac:dyDescent="0.25">
      <c r="A42" s="22" t="s">
        <v>37</v>
      </c>
      <c r="B42" s="23" t="s">
        <v>3</v>
      </c>
      <c r="C42" s="23" t="s">
        <v>97</v>
      </c>
      <c r="D42" s="24">
        <v>2013</v>
      </c>
      <c r="E42" s="23" t="s">
        <v>98</v>
      </c>
      <c r="F42" s="25">
        <v>0</v>
      </c>
      <c r="G42" s="25">
        <v>0</v>
      </c>
      <c r="H42" s="25">
        <v>1.9999999999999999E-6</v>
      </c>
      <c r="I42" s="25">
        <v>1.9999999999999999E-6</v>
      </c>
      <c r="J42" s="25">
        <v>1.9999999999999999E-6</v>
      </c>
      <c r="K42" s="26">
        <v>0</v>
      </c>
      <c r="L42" s="26">
        <v>0</v>
      </c>
      <c r="M42" s="26">
        <v>2.5999999999999999E-2</v>
      </c>
      <c r="N42" s="26">
        <v>2.5999999999999999E-2</v>
      </c>
      <c r="O42" s="26">
        <v>2.5000000000000001E-2</v>
      </c>
    </row>
    <row r="43" spans="1:15" x14ac:dyDescent="0.25">
      <c r="A43" s="22" t="s">
        <v>37</v>
      </c>
      <c r="B43" s="23" t="s">
        <v>3</v>
      </c>
      <c r="C43" s="23" t="s">
        <v>97</v>
      </c>
      <c r="D43" s="24">
        <v>2014</v>
      </c>
      <c r="E43" s="23" t="s">
        <v>98</v>
      </c>
      <c r="F43" s="25">
        <v>0</v>
      </c>
      <c r="G43" s="25">
        <v>0</v>
      </c>
      <c r="H43" s="25">
        <v>0</v>
      </c>
      <c r="I43" s="25">
        <v>2.3596373009999996E-3</v>
      </c>
      <c r="J43" s="25">
        <v>2.2233382519999999E-3</v>
      </c>
      <c r="K43" s="26">
        <v>0</v>
      </c>
      <c r="L43" s="26">
        <v>0</v>
      </c>
      <c r="M43" s="26">
        <v>0</v>
      </c>
      <c r="N43" s="26">
        <v>31.539497860000001</v>
      </c>
      <c r="O43" s="26">
        <v>29.368346000000003</v>
      </c>
    </row>
    <row r="44" spans="1:15" x14ac:dyDescent="0.25">
      <c r="A44" s="22" t="s">
        <v>37</v>
      </c>
      <c r="B44" s="23" t="s">
        <v>3</v>
      </c>
      <c r="C44" s="23" t="s">
        <v>97</v>
      </c>
      <c r="D44" s="24">
        <v>2012</v>
      </c>
      <c r="E44" s="23" t="s">
        <v>100</v>
      </c>
      <c r="F44" s="25">
        <v>0</v>
      </c>
      <c r="G44" s="25">
        <v>2.580949871670007E-4</v>
      </c>
      <c r="H44" s="25">
        <v>2.580949871670007E-4</v>
      </c>
      <c r="I44" s="25">
        <v>2.580949871670007E-4</v>
      </c>
      <c r="J44" s="25">
        <v>2.580949871670007E-4</v>
      </c>
      <c r="K44" s="26">
        <v>0</v>
      </c>
      <c r="L44" s="26">
        <v>1.5661654124212518</v>
      </c>
      <c r="M44" s="26">
        <v>1.5661654124212518</v>
      </c>
      <c r="N44" s="26">
        <v>1.5661654124212518</v>
      </c>
      <c r="O44" s="26">
        <v>1.5661654124212518</v>
      </c>
    </row>
    <row r="45" spans="1:15" x14ac:dyDescent="0.25">
      <c r="A45" s="22" t="s">
        <v>37</v>
      </c>
      <c r="B45" s="23" t="s">
        <v>3</v>
      </c>
      <c r="C45" s="23" t="s">
        <v>97</v>
      </c>
      <c r="D45" s="24">
        <v>2011</v>
      </c>
      <c r="E45" s="23" t="s">
        <v>100</v>
      </c>
      <c r="F45" s="25">
        <v>1.8032935615726874E-5</v>
      </c>
      <c r="G45" s="25">
        <v>1.8032935615726874E-5</v>
      </c>
      <c r="H45" s="25">
        <v>1.8032935615726874E-5</v>
      </c>
      <c r="I45" s="25">
        <v>1.8032935615726874E-5</v>
      </c>
      <c r="J45" s="25">
        <v>1.8032935615726874E-5</v>
      </c>
      <c r="K45" s="26">
        <v>0.30876910845496847</v>
      </c>
      <c r="L45" s="26">
        <v>0.30876910845496847</v>
      </c>
      <c r="M45" s="26">
        <v>0.30876910845496847</v>
      </c>
      <c r="N45" s="26">
        <v>0.30876910845496847</v>
      </c>
      <c r="O45" s="26">
        <v>0.30876910845496847</v>
      </c>
    </row>
    <row r="46" spans="1:15" x14ac:dyDescent="0.25">
      <c r="A46" s="22" t="s">
        <v>37</v>
      </c>
      <c r="B46" s="23" t="s">
        <v>3</v>
      </c>
      <c r="C46" s="23" t="s">
        <v>97</v>
      </c>
      <c r="D46" s="24">
        <v>2011</v>
      </c>
      <c r="E46" s="23" t="s">
        <v>101</v>
      </c>
      <c r="F46" s="25">
        <v>1.2871493480123527E-3</v>
      </c>
      <c r="G46" s="25">
        <v>1.2871493480123527E-3</v>
      </c>
      <c r="H46" s="25">
        <v>1.2871493480123527E-3</v>
      </c>
      <c r="I46" s="25">
        <v>1.2871493480123527E-3</v>
      </c>
      <c r="J46" s="25">
        <v>1.2099016277151552E-3</v>
      </c>
      <c r="K46" s="26">
        <v>20.878312609688244</v>
      </c>
      <c r="L46" s="26">
        <v>20.878312609688244</v>
      </c>
      <c r="M46" s="26">
        <v>20.878312609688244</v>
      </c>
      <c r="N46" s="26">
        <v>20.878312609688244</v>
      </c>
      <c r="O46" s="26">
        <v>19.210001624634661</v>
      </c>
    </row>
    <row r="47" spans="1:15" x14ac:dyDescent="0.25">
      <c r="A47" s="22" t="s">
        <v>34</v>
      </c>
      <c r="B47" s="23" t="s">
        <v>44</v>
      </c>
      <c r="C47" s="23" t="s">
        <v>97</v>
      </c>
      <c r="D47" s="24">
        <v>2014</v>
      </c>
      <c r="E47" s="23" t="s">
        <v>98</v>
      </c>
      <c r="F47" s="25">
        <v>0</v>
      </c>
      <c r="G47" s="25">
        <v>0</v>
      </c>
      <c r="H47" s="25">
        <v>0</v>
      </c>
      <c r="I47" s="25">
        <v>1.67161E-3</v>
      </c>
      <c r="J47" s="25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</row>
    <row r="48" spans="1:15" x14ac:dyDescent="0.25">
      <c r="A48" s="22" t="s">
        <v>37</v>
      </c>
      <c r="B48" s="23" t="s">
        <v>74</v>
      </c>
      <c r="C48" s="23" t="s">
        <v>97</v>
      </c>
      <c r="D48" s="24">
        <v>2013</v>
      </c>
      <c r="E48" s="23" t="s">
        <v>99</v>
      </c>
      <c r="F48" s="25">
        <v>0</v>
      </c>
      <c r="G48" s="25">
        <v>0</v>
      </c>
      <c r="H48" s="25">
        <v>1.3258527710000001E-3</v>
      </c>
      <c r="I48" s="25">
        <v>1.3258527710000001E-3</v>
      </c>
      <c r="J48" s="25">
        <v>1.253064077E-3</v>
      </c>
      <c r="K48" s="26">
        <v>0</v>
      </c>
      <c r="L48" s="26">
        <v>0</v>
      </c>
      <c r="M48" s="26">
        <v>19.243625376914999</v>
      </c>
      <c r="N48" s="26">
        <v>19.243625376914999</v>
      </c>
      <c r="O48" s="26">
        <v>18.084150613174998</v>
      </c>
    </row>
    <row r="49" spans="1:15" x14ac:dyDescent="0.25">
      <c r="A49" s="22" t="s">
        <v>37</v>
      </c>
      <c r="B49" s="23" t="s">
        <v>4</v>
      </c>
      <c r="C49" s="23" t="s">
        <v>97</v>
      </c>
      <c r="D49" s="24">
        <v>2014</v>
      </c>
      <c r="E49" s="23" t="s">
        <v>98</v>
      </c>
      <c r="F49" s="25">
        <v>0</v>
      </c>
      <c r="G49" s="25">
        <v>0</v>
      </c>
      <c r="H49" s="25">
        <v>0</v>
      </c>
      <c r="I49" s="25">
        <v>9.0096485690000002E-3</v>
      </c>
      <c r="J49" s="25">
        <v>7.8644453780000005E-3</v>
      </c>
      <c r="K49" s="26">
        <v>0</v>
      </c>
      <c r="L49" s="26">
        <v>0</v>
      </c>
      <c r="M49" s="26">
        <v>0</v>
      </c>
      <c r="N49" s="26">
        <v>137.666865</v>
      </c>
      <c r="O49" s="26">
        <v>119.4245512</v>
      </c>
    </row>
    <row r="50" spans="1:15" x14ac:dyDescent="0.25">
      <c r="A50" s="22" t="s">
        <v>37</v>
      </c>
      <c r="B50" s="23" t="s">
        <v>4</v>
      </c>
      <c r="C50" s="23" t="s">
        <v>97</v>
      </c>
      <c r="D50" s="24">
        <v>2012</v>
      </c>
      <c r="E50" s="23" t="s">
        <v>100</v>
      </c>
      <c r="F50" s="25">
        <v>0</v>
      </c>
      <c r="G50" s="25">
        <v>1.6577712051991449E-3</v>
      </c>
      <c r="H50" s="25">
        <v>1.6577712051991449E-3</v>
      </c>
      <c r="I50" s="25">
        <v>1.6577712051991449E-3</v>
      </c>
      <c r="J50" s="25">
        <v>1.6577712051991449E-3</v>
      </c>
      <c r="K50" s="26">
        <v>0</v>
      </c>
      <c r="L50" s="26">
        <v>29.998910254468694</v>
      </c>
      <c r="M50" s="26">
        <v>29.998910254468694</v>
      </c>
      <c r="N50" s="26">
        <v>29.998910254468694</v>
      </c>
      <c r="O50" s="26">
        <v>29.998910254468694</v>
      </c>
    </row>
    <row r="51" spans="1:15" x14ac:dyDescent="0.25">
      <c r="A51" s="22" t="s">
        <v>37</v>
      </c>
      <c r="B51" s="23" t="s">
        <v>4</v>
      </c>
      <c r="C51" s="23" t="s">
        <v>97</v>
      </c>
      <c r="D51" s="24">
        <v>2011</v>
      </c>
      <c r="E51" s="23" t="s">
        <v>100</v>
      </c>
      <c r="F51" s="25">
        <v>1.208215947005871E-4</v>
      </c>
      <c r="G51" s="25">
        <v>1.208215947005871E-4</v>
      </c>
      <c r="H51" s="25">
        <v>1.208215947005871E-4</v>
      </c>
      <c r="I51" s="25">
        <v>1.208215947005871E-4</v>
      </c>
      <c r="J51" s="25">
        <v>1.208215947005871E-4</v>
      </c>
      <c r="K51" s="26">
        <v>2.4456777114080999</v>
      </c>
      <c r="L51" s="26">
        <v>2.4456777114080999</v>
      </c>
      <c r="M51" s="26">
        <v>2.4456777114080999</v>
      </c>
      <c r="N51" s="26">
        <v>2.4456777114080999</v>
      </c>
      <c r="O51" s="26">
        <v>2.4456777114080999</v>
      </c>
    </row>
    <row r="52" spans="1:15" x14ac:dyDescent="0.25">
      <c r="A52" s="22" t="s">
        <v>37</v>
      </c>
      <c r="B52" s="23" t="s">
        <v>4</v>
      </c>
      <c r="C52" s="23" t="s">
        <v>97</v>
      </c>
      <c r="D52" s="24">
        <v>2011</v>
      </c>
      <c r="E52" s="23" t="s">
        <v>101</v>
      </c>
      <c r="F52" s="25">
        <v>1.883471137121796E-3</v>
      </c>
      <c r="G52" s="25">
        <v>1.883471137121796E-3</v>
      </c>
      <c r="H52" s="25">
        <v>1.883471137121796E-3</v>
      </c>
      <c r="I52" s="25">
        <v>1.883471137121796E-3</v>
      </c>
      <c r="J52" s="25">
        <v>1.7522787039036046E-3</v>
      </c>
      <c r="K52" s="26">
        <v>32.917733975031737</v>
      </c>
      <c r="L52" s="26">
        <v>32.917733975031737</v>
      </c>
      <c r="M52" s="26">
        <v>32.917733975031737</v>
      </c>
      <c r="N52" s="26">
        <v>32.917733975031737</v>
      </c>
      <c r="O52" s="26">
        <v>30.084384632788975</v>
      </c>
    </row>
    <row r="53" spans="1:15" x14ac:dyDescent="0.25">
      <c r="A53" s="22" t="s">
        <v>37</v>
      </c>
      <c r="B53" s="23" t="s">
        <v>0</v>
      </c>
      <c r="C53" s="23" t="s">
        <v>97</v>
      </c>
      <c r="D53" s="24">
        <v>2014</v>
      </c>
      <c r="E53" s="23" t="s">
        <v>98</v>
      </c>
      <c r="F53" s="25">
        <v>0</v>
      </c>
      <c r="G53" s="25">
        <v>0</v>
      </c>
      <c r="H53" s="25">
        <v>0</v>
      </c>
      <c r="I53" s="25">
        <v>3.5026289200000002E-4</v>
      </c>
      <c r="J53" s="25">
        <v>3.5026289200000002E-4</v>
      </c>
      <c r="K53" s="26">
        <v>0</v>
      </c>
      <c r="L53" s="26">
        <v>0</v>
      </c>
      <c r="M53" s="26">
        <v>0</v>
      </c>
      <c r="N53" s="26">
        <v>0.31322413979999997</v>
      </c>
      <c r="O53" s="26">
        <v>0.31322413979999997</v>
      </c>
    </row>
    <row r="54" spans="1:15" x14ac:dyDescent="0.25">
      <c r="A54" s="22" t="s">
        <v>37</v>
      </c>
      <c r="B54" s="23" t="s">
        <v>0</v>
      </c>
      <c r="C54" s="23" t="s">
        <v>97</v>
      </c>
      <c r="D54" s="24">
        <v>2014</v>
      </c>
      <c r="E54" s="23" t="s">
        <v>98</v>
      </c>
      <c r="F54" s="25">
        <v>0</v>
      </c>
      <c r="G54" s="25">
        <v>0</v>
      </c>
      <c r="H54" s="25">
        <v>0</v>
      </c>
      <c r="I54" s="25">
        <v>1.061939006E-3</v>
      </c>
      <c r="J54" s="25">
        <v>1.061939006E-3</v>
      </c>
      <c r="K54" s="26">
        <v>0</v>
      </c>
      <c r="L54" s="26">
        <v>0</v>
      </c>
      <c r="M54" s="26">
        <v>0</v>
      </c>
      <c r="N54" s="26">
        <v>1.8935028489999999</v>
      </c>
      <c r="O54" s="26">
        <v>1.8935028489999999</v>
      </c>
    </row>
    <row r="55" spans="1:15" x14ac:dyDescent="0.25">
      <c r="A55" s="22" t="s">
        <v>37</v>
      </c>
      <c r="B55" s="23" t="s">
        <v>0</v>
      </c>
      <c r="C55" s="23" t="s">
        <v>97</v>
      </c>
      <c r="D55" s="24">
        <v>2014</v>
      </c>
      <c r="E55" s="23" t="s">
        <v>98</v>
      </c>
      <c r="F55" s="25">
        <v>0</v>
      </c>
      <c r="G55" s="25">
        <v>0</v>
      </c>
      <c r="H55" s="25">
        <v>0</v>
      </c>
      <c r="I55" s="25">
        <v>2.0894330551368416E-3</v>
      </c>
      <c r="J55" s="25">
        <v>2.0894330551368416E-3</v>
      </c>
      <c r="K55" s="26">
        <v>0</v>
      </c>
      <c r="L55" s="26">
        <v>0</v>
      </c>
      <c r="M55" s="26">
        <v>0</v>
      </c>
      <c r="N55" s="26">
        <v>15.128683298025983</v>
      </c>
      <c r="O55" s="26">
        <v>15.128683298025983</v>
      </c>
    </row>
    <row r="56" spans="1:15" x14ac:dyDescent="0.25">
      <c r="A56" s="22" t="s">
        <v>37</v>
      </c>
      <c r="B56" s="23" t="s">
        <v>0</v>
      </c>
      <c r="C56" s="23" t="s">
        <v>97</v>
      </c>
      <c r="D56" s="24">
        <v>2014</v>
      </c>
      <c r="E56" s="23" t="s">
        <v>98</v>
      </c>
      <c r="F56" s="25">
        <v>0</v>
      </c>
      <c r="G56" s="25">
        <v>0</v>
      </c>
      <c r="H56" s="25">
        <v>0</v>
      </c>
      <c r="I56" s="25">
        <v>2.9402575612207348E-3</v>
      </c>
      <c r="J56" s="25">
        <v>2.9402575612207348E-3</v>
      </c>
      <c r="K56" s="26">
        <v>0</v>
      </c>
      <c r="L56" s="26">
        <v>0</v>
      </c>
      <c r="M56" s="26">
        <v>0</v>
      </c>
      <c r="N56" s="26">
        <v>20.006630932657824</v>
      </c>
      <c r="O56" s="26">
        <v>20.006630932657824</v>
      </c>
    </row>
    <row r="57" spans="1:15" x14ac:dyDescent="0.25">
      <c r="A57" s="22" t="s">
        <v>37</v>
      </c>
      <c r="B57" s="23" t="s">
        <v>0</v>
      </c>
      <c r="C57" s="23" t="s">
        <v>97</v>
      </c>
      <c r="D57" s="24">
        <v>2013</v>
      </c>
      <c r="E57" s="23" t="s">
        <v>99</v>
      </c>
      <c r="F57" s="25" t="s">
        <v>36</v>
      </c>
      <c r="G57" s="25" t="s">
        <v>36</v>
      </c>
      <c r="H57" s="25">
        <v>4.5902084229999997E-3</v>
      </c>
      <c r="I57" s="25">
        <v>4.5902084229999997E-3</v>
      </c>
      <c r="J57" s="25">
        <v>4.5902084229999997E-3</v>
      </c>
      <c r="K57" s="26" t="s">
        <v>36</v>
      </c>
      <c r="L57" s="26" t="s">
        <v>36</v>
      </c>
      <c r="M57" s="26">
        <v>29.514547200948002</v>
      </c>
      <c r="N57" s="26">
        <v>29.514547200948002</v>
      </c>
      <c r="O57" s="26">
        <v>29.514547200948002</v>
      </c>
    </row>
    <row r="58" spans="1:15" x14ac:dyDescent="0.25">
      <c r="A58" s="22" t="s">
        <v>37</v>
      </c>
      <c r="B58" s="23" t="s">
        <v>0</v>
      </c>
      <c r="C58" s="23" t="s">
        <v>97</v>
      </c>
      <c r="D58" s="24">
        <v>2013</v>
      </c>
      <c r="E58" s="23" t="s">
        <v>99</v>
      </c>
      <c r="F58" s="25">
        <v>0</v>
      </c>
      <c r="G58" s="25">
        <v>0</v>
      </c>
      <c r="H58" s="25">
        <v>9.7884593584629871E-7</v>
      </c>
      <c r="I58" s="25">
        <v>9.7884593584629871E-7</v>
      </c>
      <c r="J58" s="25">
        <v>9.7884593584629871E-7</v>
      </c>
      <c r="K58" s="26">
        <v>0</v>
      </c>
      <c r="L58" s="26">
        <v>0</v>
      </c>
      <c r="M58" s="26">
        <v>6.850080105756118E-3</v>
      </c>
      <c r="N58" s="26">
        <v>6.850080105756118E-3</v>
      </c>
      <c r="O58" s="26">
        <v>6.850080105756118E-3</v>
      </c>
    </row>
    <row r="59" spans="1:15" x14ac:dyDescent="0.25">
      <c r="A59" s="22" t="s">
        <v>37</v>
      </c>
      <c r="B59" s="23" t="s">
        <v>0</v>
      </c>
      <c r="C59" s="23" t="s">
        <v>97</v>
      </c>
      <c r="D59" s="24">
        <v>2012</v>
      </c>
      <c r="E59" s="23" t="s">
        <v>100</v>
      </c>
      <c r="F59" s="25">
        <v>0</v>
      </c>
      <c r="G59" s="25">
        <v>5.6497847495197082E-3</v>
      </c>
      <c r="H59" s="25">
        <v>5.6497847495197082E-3</v>
      </c>
      <c r="I59" s="25">
        <v>5.6497847495197082E-3</v>
      </c>
      <c r="J59" s="25">
        <v>5.305973013157341E-3</v>
      </c>
      <c r="K59" s="26">
        <v>0</v>
      </c>
      <c r="L59" s="26">
        <v>40.19278765537247</v>
      </c>
      <c r="M59" s="26">
        <v>40.19278765537247</v>
      </c>
      <c r="N59" s="26">
        <v>40.19278765537247</v>
      </c>
      <c r="O59" s="26">
        <v>39.885332490372463</v>
      </c>
    </row>
    <row r="60" spans="1:15" x14ac:dyDescent="0.25">
      <c r="A60" s="22" t="s">
        <v>37</v>
      </c>
      <c r="B60" s="23" t="s">
        <v>0</v>
      </c>
      <c r="C60" s="23" t="s">
        <v>97</v>
      </c>
      <c r="D60" s="24">
        <v>2011</v>
      </c>
      <c r="E60" s="23" t="s">
        <v>101</v>
      </c>
      <c r="F60" s="25">
        <v>6.1199297613875117E-3</v>
      </c>
      <c r="G60" s="25">
        <v>6.1199297613875117E-3</v>
      </c>
      <c r="H60" s="25">
        <v>6.1199297613875117E-3</v>
      </c>
      <c r="I60" s="25">
        <v>5.8940599401499051E-3</v>
      </c>
      <c r="J60" s="25">
        <v>3.9082652185192628E-3</v>
      </c>
      <c r="K60" s="26">
        <v>43.725781352008042</v>
      </c>
      <c r="L60" s="26">
        <v>43.725781352008042</v>
      </c>
      <c r="M60" s="26">
        <v>43.725781352008042</v>
      </c>
      <c r="N60" s="26">
        <v>43.523796265949379</v>
      </c>
      <c r="O60" s="26">
        <v>29.725231533824058</v>
      </c>
    </row>
    <row r="61" spans="1:15" x14ac:dyDescent="0.25">
      <c r="A61" s="22" t="s">
        <v>37</v>
      </c>
      <c r="B61" s="23" t="s">
        <v>1</v>
      </c>
      <c r="C61" s="23" t="s">
        <v>97</v>
      </c>
      <c r="D61" s="24">
        <v>2014</v>
      </c>
      <c r="E61" s="23" t="s">
        <v>98</v>
      </c>
      <c r="F61" s="25">
        <v>0</v>
      </c>
      <c r="G61" s="25">
        <v>0</v>
      </c>
      <c r="H61" s="25">
        <v>0</v>
      </c>
      <c r="I61" s="25">
        <v>4.1438819799999999E-4</v>
      </c>
      <c r="J61" s="25">
        <v>4.1438819799999999E-4</v>
      </c>
      <c r="K61" s="26">
        <v>0</v>
      </c>
      <c r="L61" s="26">
        <v>0</v>
      </c>
      <c r="M61" s="26">
        <v>0</v>
      </c>
      <c r="N61" s="26">
        <v>0.73887975589999999</v>
      </c>
      <c r="O61" s="26">
        <v>0.73887975589999999</v>
      </c>
    </row>
    <row r="62" spans="1:15" x14ac:dyDescent="0.25">
      <c r="A62" s="22" t="s">
        <v>37</v>
      </c>
      <c r="B62" s="23" t="s">
        <v>1</v>
      </c>
      <c r="C62" s="23" t="s">
        <v>97</v>
      </c>
      <c r="D62" s="24">
        <v>2013</v>
      </c>
      <c r="E62" s="23" t="s">
        <v>99</v>
      </c>
      <c r="F62" s="25" t="s">
        <v>36</v>
      </c>
      <c r="G62" s="25" t="s">
        <v>36</v>
      </c>
      <c r="H62" s="25">
        <v>2.0719409899999999E-4</v>
      </c>
      <c r="I62" s="25">
        <v>2.0719409899999999E-4</v>
      </c>
      <c r="J62" s="25">
        <v>2.0719409899999999E-4</v>
      </c>
      <c r="K62" s="26" t="s">
        <v>36</v>
      </c>
      <c r="L62" s="26" t="s">
        <v>36</v>
      </c>
      <c r="M62" s="26">
        <v>0.369439878</v>
      </c>
      <c r="N62" s="26">
        <v>0.369439878</v>
      </c>
      <c r="O62" s="26">
        <v>0.369439878</v>
      </c>
    </row>
    <row r="63" spans="1:15" x14ac:dyDescent="0.25">
      <c r="A63" s="22" t="s">
        <v>37</v>
      </c>
      <c r="B63" s="23" t="s">
        <v>1</v>
      </c>
      <c r="C63" s="23" t="s">
        <v>97</v>
      </c>
      <c r="D63" s="24">
        <v>2012</v>
      </c>
      <c r="E63" s="23" t="s">
        <v>100</v>
      </c>
      <c r="F63" s="25">
        <v>0</v>
      </c>
      <c r="G63" s="25">
        <v>3.8821162777490262E-3</v>
      </c>
      <c r="H63" s="25">
        <v>3.8821162777490262E-3</v>
      </c>
      <c r="I63" s="25">
        <v>3.8821162777490262E-3</v>
      </c>
      <c r="J63" s="25">
        <v>3.6246272091997917E-3</v>
      </c>
      <c r="K63" s="26">
        <v>0</v>
      </c>
      <c r="L63" s="26">
        <v>6.6931949622850118</v>
      </c>
      <c r="M63" s="26">
        <v>6.6931949622850118</v>
      </c>
      <c r="N63" s="26">
        <v>6.6931949622850118</v>
      </c>
      <c r="O63" s="26">
        <v>6.4629342245507351</v>
      </c>
    </row>
    <row r="64" spans="1:15" x14ac:dyDescent="0.25">
      <c r="A64" s="22" t="s">
        <v>37</v>
      </c>
      <c r="B64" s="23" t="s">
        <v>1</v>
      </c>
      <c r="C64" s="23" t="s">
        <v>97</v>
      </c>
      <c r="D64" s="24">
        <v>2011</v>
      </c>
      <c r="E64" s="23" t="s">
        <v>101</v>
      </c>
      <c r="F64" s="25">
        <v>1.2382046490065988E-3</v>
      </c>
      <c r="G64" s="25">
        <v>1.2382046490065988E-3</v>
      </c>
      <c r="H64" s="25">
        <v>1.2382046490065988E-3</v>
      </c>
      <c r="I64" s="25">
        <v>3.5771890679031533E-5</v>
      </c>
      <c r="J64" s="25">
        <v>0</v>
      </c>
      <c r="K64" s="26">
        <v>1.1390643001535843</v>
      </c>
      <c r="L64" s="26">
        <v>1.1390643001535843</v>
      </c>
      <c r="M64" s="26">
        <v>1.1390643001535843</v>
      </c>
      <c r="N64" s="26">
        <v>6.378349088138098E-2</v>
      </c>
      <c r="O64" s="26">
        <v>0</v>
      </c>
    </row>
    <row r="65" spans="1:15" x14ac:dyDescent="0.25">
      <c r="A65" s="22" t="s">
        <v>37</v>
      </c>
      <c r="B65" s="23" t="s">
        <v>73</v>
      </c>
      <c r="C65" s="23" t="s">
        <v>97</v>
      </c>
      <c r="D65" s="24">
        <v>2013</v>
      </c>
      <c r="E65" s="23" t="s">
        <v>99</v>
      </c>
      <c r="F65" s="25">
        <v>0</v>
      </c>
      <c r="G65" s="25">
        <v>0</v>
      </c>
      <c r="H65" s="25">
        <v>5.7864239200000004E-4</v>
      </c>
      <c r="I65" s="25">
        <v>5.7864239200000004E-4</v>
      </c>
      <c r="J65" s="25">
        <v>5.5775648799999997E-4</v>
      </c>
      <c r="K65" s="26">
        <v>0</v>
      </c>
      <c r="L65" s="26">
        <v>0</v>
      </c>
      <c r="M65" s="26">
        <v>8.6334702824550007</v>
      </c>
      <c r="N65" s="26">
        <v>8.6334702824550007</v>
      </c>
      <c r="O65" s="26">
        <v>8.3007719281819998</v>
      </c>
    </row>
    <row r="66" spans="1:15" x14ac:dyDescent="0.25">
      <c r="A66" s="22"/>
      <c r="B66" s="23"/>
      <c r="C66" s="23"/>
      <c r="D66" s="24"/>
      <c r="E66" s="23"/>
      <c r="F66" s="25"/>
      <c r="G66" s="25"/>
      <c r="H66" s="25"/>
      <c r="I66" s="25"/>
      <c r="J66" s="25"/>
      <c r="K66" s="26"/>
      <c r="L66" s="26"/>
      <c r="M66" s="26"/>
      <c r="N66" s="26"/>
      <c r="O66" s="26"/>
    </row>
    <row r="67" spans="1:15" x14ac:dyDescent="0.25">
      <c r="A67" s="22"/>
      <c r="B67" s="23"/>
      <c r="C67" s="23"/>
      <c r="D67" s="24"/>
      <c r="E67" s="23"/>
      <c r="F67" s="25"/>
      <c r="G67" s="25"/>
      <c r="H67" s="25"/>
      <c r="I67" s="25"/>
      <c r="J67" s="25"/>
      <c r="K67" s="26"/>
      <c r="L67" s="26"/>
      <c r="M67" s="26"/>
      <c r="N67" s="26"/>
      <c r="O67" s="26"/>
    </row>
    <row r="68" spans="1:15" x14ac:dyDescent="0.25">
      <c r="A68" s="22"/>
      <c r="B68" s="23"/>
      <c r="C68" s="23"/>
      <c r="D68" s="24"/>
      <c r="E68" s="23"/>
      <c r="F68" s="25"/>
      <c r="G68" s="25"/>
      <c r="H68" s="25"/>
      <c r="I68" s="25"/>
      <c r="J68" s="25"/>
      <c r="K68" s="26"/>
      <c r="L68" s="26"/>
      <c r="M68" s="26"/>
      <c r="N68" s="26"/>
      <c r="O68" s="26"/>
    </row>
    <row r="69" spans="1:15" x14ac:dyDescent="0.25">
      <c r="A69" s="22"/>
      <c r="B69" s="23"/>
      <c r="C69" s="23"/>
      <c r="D69" s="24"/>
      <c r="E69" s="23"/>
      <c r="F69" s="25"/>
      <c r="G69" s="25"/>
      <c r="H69" s="25"/>
      <c r="I69" s="25"/>
      <c r="J69" s="25"/>
      <c r="K69" s="26"/>
      <c r="L69" s="26"/>
      <c r="M69" s="26"/>
      <c r="N69" s="26"/>
      <c r="O69" s="26"/>
    </row>
    <row r="70" spans="1:15" x14ac:dyDescent="0.25">
      <c r="A70" s="22"/>
      <c r="B70" s="23"/>
      <c r="C70" s="23"/>
      <c r="D70" s="24"/>
      <c r="E70" s="23"/>
      <c r="F70" s="25"/>
      <c r="G70" s="25"/>
      <c r="H70" s="25"/>
      <c r="I70" s="25"/>
      <c r="J70" s="25"/>
      <c r="K70" s="26"/>
      <c r="L70" s="26"/>
      <c r="M70" s="26"/>
      <c r="N70" s="26"/>
      <c r="O70" s="26"/>
    </row>
    <row r="71" spans="1:15" x14ac:dyDescent="0.25">
      <c r="A71" s="22"/>
      <c r="B71" s="23"/>
      <c r="C71" s="23"/>
      <c r="D71" s="24"/>
      <c r="E71" s="23"/>
      <c r="F71" s="25"/>
      <c r="G71" s="25"/>
      <c r="H71" s="25"/>
      <c r="I71" s="25"/>
      <c r="J71" s="25"/>
      <c r="K71" s="26"/>
      <c r="L71" s="26"/>
      <c r="M71" s="26"/>
      <c r="N71" s="26"/>
      <c r="O71" s="26"/>
    </row>
    <row r="72" spans="1:15" x14ac:dyDescent="0.25">
      <c r="A72" s="22"/>
      <c r="B72" s="23"/>
      <c r="C72" s="23"/>
      <c r="D72" s="24"/>
      <c r="E72" s="23"/>
      <c r="F72" s="25"/>
      <c r="G72" s="25"/>
      <c r="H72" s="25"/>
      <c r="I72" s="25"/>
      <c r="J72" s="25"/>
      <c r="K72" s="26"/>
      <c r="L72" s="26"/>
      <c r="M72" s="26"/>
      <c r="N72" s="26"/>
      <c r="O72" s="26"/>
    </row>
    <row r="73" spans="1:15" x14ac:dyDescent="0.25">
      <c r="A73" s="22"/>
      <c r="B73" s="23"/>
      <c r="C73" s="23"/>
      <c r="D73" s="24"/>
      <c r="E73" s="23"/>
      <c r="F73" s="25"/>
      <c r="G73" s="25"/>
      <c r="H73" s="25"/>
      <c r="I73" s="25"/>
      <c r="J73" s="25"/>
      <c r="K73" s="26"/>
      <c r="L73" s="26"/>
      <c r="M73" s="26"/>
      <c r="N73" s="26"/>
      <c r="O73" s="26"/>
    </row>
    <row r="74" spans="1:15" x14ac:dyDescent="0.25">
      <c r="A74" s="22"/>
      <c r="B74" s="23"/>
      <c r="C74" s="23"/>
      <c r="D74" s="24"/>
      <c r="E74" s="23"/>
      <c r="F74" s="25"/>
      <c r="G74" s="25"/>
      <c r="H74" s="25"/>
      <c r="I74" s="25"/>
      <c r="J74" s="25"/>
      <c r="K74" s="26"/>
      <c r="L74" s="26"/>
      <c r="M74" s="26"/>
      <c r="N74" s="26"/>
      <c r="O74" s="26"/>
    </row>
    <row r="75" spans="1:15" x14ac:dyDescent="0.25">
      <c r="A75" s="22"/>
      <c r="B75" s="23"/>
      <c r="C75" s="23"/>
      <c r="D75" s="24"/>
      <c r="E75" s="23"/>
      <c r="F75" s="25"/>
      <c r="G75" s="25"/>
      <c r="H75" s="25"/>
      <c r="I75" s="25"/>
      <c r="J75" s="25"/>
      <c r="K75" s="26"/>
      <c r="L75" s="26"/>
      <c r="M75" s="26"/>
      <c r="N75" s="26"/>
      <c r="O75" s="26"/>
    </row>
    <row r="76" spans="1:15" x14ac:dyDescent="0.25">
      <c r="A76" s="22"/>
      <c r="B76" s="23"/>
      <c r="C76" s="23"/>
      <c r="D76" s="24"/>
      <c r="E76" s="23"/>
      <c r="F76" s="25"/>
      <c r="G76" s="25"/>
      <c r="H76" s="25"/>
      <c r="I76" s="25"/>
      <c r="J76" s="25"/>
      <c r="K76" s="26"/>
      <c r="L76" s="26"/>
      <c r="M76" s="26"/>
      <c r="N76" s="26"/>
      <c r="O76" s="26"/>
    </row>
    <row r="77" spans="1:15" x14ac:dyDescent="0.25">
      <c r="A77" s="22"/>
      <c r="B77" s="23"/>
      <c r="C77" s="23"/>
      <c r="D77" s="24"/>
      <c r="E77" s="23"/>
      <c r="F77" s="25"/>
      <c r="G77" s="25"/>
      <c r="H77" s="25"/>
      <c r="I77" s="25"/>
      <c r="J77" s="25"/>
      <c r="K77" s="26"/>
      <c r="L77" s="26"/>
      <c r="M77" s="26"/>
      <c r="N77" s="26"/>
      <c r="O77" s="26"/>
    </row>
    <row r="78" spans="1:15" x14ac:dyDescent="0.25">
      <c r="A78" s="22"/>
      <c r="B78" s="23"/>
      <c r="C78" s="23"/>
      <c r="D78" s="24"/>
      <c r="E78" s="23"/>
      <c r="F78" s="25"/>
      <c r="G78" s="25"/>
      <c r="H78" s="25"/>
      <c r="I78" s="25"/>
      <c r="J78" s="25"/>
      <c r="K78" s="26"/>
      <c r="L78" s="26"/>
      <c r="M78" s="26"/>
      <c r="N78" s="26"/>
      <c r="O78" s="26"/>
    </row>
    <row r="79" spans="1:15" x14ac:dyDescent="0.25">
      <c r="A79" s="22"/>
      <c r="B79" s="23"/>
      <c r="C79" s="23"/>
      <c r="D79" s="24"/>
      <c r="E79" s="23"/>
      <c r="F79" s="25"/>
      <c r="G79" s="25"/>
      <c r="H79" s="25"/>
      <c r="I79" s="25"/>
      <c r="J79" s="25"/>
      <c r="K79" s="26"/>
      <c r="L79" s="26"/>
      <c r="M79" s="26"/>
      <c r="N79" s="26"/>
      <c r="O79" s="26"/>
    </row>
    <row r="80" spans="1:15" x14ac:dyDescent="0.25">
      <c r="A80" s="22"/>
      <c r="B80" s="23"/>
      <c r="C80" s="23"/>
      <c r="D80" s="24"/>
      <c r="E80" s="23"/>
      <c r="F80" s="25"/>
      <c r="G80" s="25"/>
      <c r="H80" s="25"/>
      <c r="I80" s="25"/>
      <c r="J80" s="25"/>
      <c r="K80" s="26"/>
      <c r="L80" s="26"/>
      <c r="M80" s="26"/>
      <c r="N80" s="26"/>
      <c r="O80" s="26"/>
    </row>
    <row r="81" spans="1:15" x14ac:dyDescent="0.25">
      <c r="A81" s="22"/>
      <c r="B81" s="23"/>
      <c r="C81" s="23"/>
      <c r="D81" s="24"/>
      <c r="E81" s="23"/>
      <c r="F81" s="25"/>
      <c r="G81" s="25"/>
      <c r="H81" s="25"/>
      <c r="I81" s="25"/>
      <c r="J81" s="25"/>
      <c r="K81" s="26"/>
      <c r="L81" s="26"/>
      <c r="M81" s="26"/>
      <c r="N81" s="26"/>
      <c r="O81" s="26"/>
    </row>
    <row r="82" spans="1:15" x14ac:dyDescent="0.25">
      <c r="A82" s="22"/>
      <c r="B82" s="23"/>
      <c r="C82" s="23"/>
      <c r="D82" s="24"/>
      <c r="E82" s="23"/>
      <c r="F82" s="25"/>
      <c r="G82" s="25"/>
      <c r="H82" s="25"/>
      <c r="I82" s="25"/>
      <c r="J82" s="25"/>
      <c r="K82" s="26"/>
      <c r="L82" s="26"/>
      <c r="M82" s="26"/>
      <c r="N82" s="26"/>
      <c r="O82" s="26"/>
    </row>
    <row r="83" spans="1:15" x14ac:dyDescent="0.25">
      <c r="A83" s="22"/>
      <c r="B83" s="23"/>
      <c r="C83" s="23"/>
      <c r="D83" s="24"/>
      <c r="E83" s="23"/>
      <c r="F83" s="25"/>
      <c r="G83" s="25"/>
      <c r="H83" s="25"/>
      <c r="I83" s="25"/>
      <c r="J83" s="25"/>
      <c r="K83" s="26"/>
      <c r="L83" s="26"/>
      <c r="M83" s="26"/>
      <c r="N83" s="26"/>
      <c r="O83" s="26"/>
    </row>
    <row r="84" spans="1:15" x14ac:dyDescent="0.25">
      <c r="A84" s="22"/>
      <c r="B84" s="23"/>
      <c r="C84" s="23"/>
      <c r="D84" s="24"/>
      <c r="E84" s="23"/>
      <c r="F84" s="25"/>
      <c r="G84" s="25"/>
      <c r="H84" s="25"/>
      <c r="I84" s="25"/>
      <c r="J84" s="25"/>
      <c r="K84" s="26"/>
      <c r="L84" s="26"/>
      <c r="M84" s="26"/>
      <c r="N84" s="26"/>
      <c r="O84" s="26"/>
    </row>
    <row r="85" spans="1:15" x14ac:dyDescent="0.25">
      <c r="A85" s="22"/>
      <c r="B85" s="23"/>
      <c r="C85" s="23"/>
      <c r="D85" s="24"/>
      <c r="E85" s="23"/>
      <c r="F85" s="25"/>
      <c r="G85" s="25"/>
      <c r="H85" s="25"/>
      <c r="I85" s="25"/>
      <c r="J85" s="25"/>
      <c r="K85" s="26"/>
      <c r="L85" s="26"/>
      <c r="M85" s="26"/>
      <c r="N85" s="26"/>
      <c r="O85" s="26"/>
    </row>
    <row r="86" spans="1:15" x14ac:dyDescent="0.25">
      <c r="A86" s="22"/>
      <c r="B86" s="23"/>
      <c r="C86" s="23"/>
      <c r="D86" s="24"/>
      <c r="E86" s="23"/>
      <c r="F86" s="25"/>
      <c r="G86" s="25"/>
      <c r="H86" s="25"/>
      <c r="I86" s="25"/>
      <c r="J86" s="25"/>
      <c r="K86" s="26"/>
      <c r="L86" s="26"/>
      <c r="M86" s="26"/>
      <c r="N86" s="26"/>
      <c r="O86" s="26"/>
    </row>
    <row r="87" spans="1:15" x14ac:dyDescent="0.25">
      <c r="A87" s="22"/>
      <c r="B87" s="23"/>
      <c r="C87" s="23"/>
      <c r="D87" s="24"/>
      <c r="E87" s="23"/>
      <c r="F87" s="25"/>
      <c r="G87" s="25"/>
      <c r="H87" s="25"/>
      <c r="I87" s="25"/>
      <c r="J87" s="25"/>
      <c r="K87" s="26"/>
      <c r="L87" s="26"/>
      <c r="M87" s="26"/>
      <c r="N87" s="26"/>
      <c r="O87" s="26"/>
    </row>
    <row r="88" spans="1:15" x14ac:dyDescent="0.25">
      <c r="A88" s="22"/>
      <c r="B88" s="23"/>
      <c r="C88" s="23"/>
      <c r="D88" s="24"/>
      <c r="E88" s="23"/>
      <c r="F88" s="25"/>
      <c r="G88" s="25"/>
      <c r="H88" s="25"/>
      <c r="I88" s="25"/>
      <c r="J88" s="25"/>
      <c r="K88" s="26"/>
      <c r="L88" s="26"/>
      <c r="M88" s="26"/>
      <c r="N88" s="26"/>
      <c r="O88" s="26"/>
    </row>
    <row r="89" spans="1:15" x14ac:dyDescent="0.25">
      <c r="A89" s="22"/>
      <c r="B89" s="23"/>
      <c r="C89" s="23"/>
      <c r="D89" s="24"/>
      <c r="E89" s="23"/>
      <c r="F89" s="25"/>
      <c r="G89" s="25"/>
      <c r="H89" s="25"/>
      <c r="I89" s="25"/>
      <c r="J89" s="25"/>
      <c r="K89" s="26"/>
      <c r="L89" s="26"/>
      <c r="M89" s="26"/>
      <c r="N89" s="26"/>
      <c r="O89" s="26"/>
    </row>
    <row r="90" spans="1:15" x14ac:dyDescent="0.25">
      <c r="A90" s="22"/>
      <c r="B90" s="23"/>
      <c r="C90" s="23"/>
      <c r="D90" s="24"/>
      <c r="E90" s="23"/>
      <c r="F90" s="25"/>
      <c r="G90" s="25"/>
      <c r="H90" s="25"/>
      <c r="I90" s="25"/>
      <c r="J90" s="25"/>
      <c r="K90" s="26"/>
      <c r="L90" s="26"/>
      <c r="M90" s="26"/>
      <c r="N90" s="26"/>
      <c r="O90" s="26"/>
    </row>
    <row r="91" spans="1:15" x14ac:dyDescent="0.25">
      <c r="A91" s="22"/>
      <c r="B91" s="23"/>
      <c r="C91" s="23"/>
      <c r="D91" s="24"/>
      <c r="E91" s="23"/>
      <c r="F91" s="25"/>
      <c r="G91" s="25"/>
      <c r="H91" s="25"/>
      <c r="I91" s="25"/>
      <c r="J91" s="25"/>
      <c r="K91" s="26"/>
      <c r="L91" s="26"/>
      <c r="M91" s="26"/>
      <c r="N91" s="26"/>
      <c r="O91" s="26"/>
    </row>
    <row r="92" spans="1:15" x14ac:dyDescent="0.25">
      <c r="A92" s="22"/>
      <c r="B92" s="23"/>
      <c r="C92" s="23"/>
      <c r="D92" s="24"/>
      <c r="E92" s="23"/>
      <c r="F92" s="25"/>
      <c r="G92" s="25"/>
      <c r="H92" s="25"/>
      <c r="I92" s="25"/>
      <c r="J92" s="25"/>
      <c r="K92" s="26"/>
      <c r="L92" s="26"/>
      <c r="M92" s="26"/>
      <c r="N92" s="26"/>
      <c r="O92" s="26"/>
    </row>
    <row r="93" spans="1:15" x14ac:dyDescent="0.25">
      <c r="A93" s="22"/>
      <c r="B93" s="23"/>
      <c r="C93" s="23"/>
      <c r="D93" s="24"/>
      <c r="E93" s="23"/>
      <c r="F93" s="25"/>
      <c r="G93" s="25"/>
      <c r="H93" s="25"/>
      <c r="I93" s="25"/>
      <c r="J93" s="25"/>
      <c r="K93" s="26"/>
      <c r="L93" s="26"/>
      <c r="M93" s="26"/>
      <c r="N93" s="26"/>
      <c r="O93" s="26"/>
    </row>
    <row r="94" spans="1:15" x14ac:dyDescent="0.25">
      <c r="A94" s="22"/>
      <c r="B94" s="23"/>
      <c r="C94" s="23"/>
      <c r="D94" s="24"/>
      <c r="E94" s="23"/>
      <c r="F94" s="25"/>
      <c r="G94" s="25"/>
      <c r="H94" s="25"/>
      <c r="I94" s="25"/>
      <c r="J94" s="25"/>
      <c r="K94" s="26"/>
      <c r="L94" s="26"/>
      <c r="M94" s="26"/>
      <c r="N94" s="26"/>
      <c r="O94" s="26"/>
    </row>
    <row r="95" spans="1:15" x14ac:dyDescent="0.25">
      <c r="A95" s="22"/>
      <c r="B95" s="23"/>
      <c r="C95" s="23"/>
      <c r="D95" s="24"/>
      <c r="E95" s="23"/>
      <c r="F95" s="25"/>
      <c r="G95" s="25"/>
      <c r="H95" s="25"/>
      <c r="I95" s="25"/>
      <c r="J95" s="25"/>
      <c r="K95" s="26"/>
      <c r="L95" s="26"/>
      <c r="M95" s="26"/>
      <c r="N95" s="26"/>
      <c r="O95" s="26"/>
    </row>
    <row r="96" spans="1:15" x14ac:dyDescent="0.25">
      <c r="A96" s="22"/>
      <c r="B96" s="23"/>
      <c r="C96" s="23"/>
      <c r="D96" s="24"/>
      <c r="E96" s="23"/>
      <c r="F96" s="25"/>
      <c r="G96" s="25"/>
      <c r="H96" s="25"/>
      <c r="I96" s="25"/>
      <c r="J96" s="25"/>
      <c r="K96" s="26"/>
      <c r="L96" s="26"/>
      <c r="M96" s="26"/>
      <c r="N96" s="26"/>
      <c r="O96" s="26"/>
    </row>
    <row r="97" spans="1:15" x14ac:dyDescent="0.25">
      <c r="A97" s="22"/>
      <c r="B97" s="23"/>
      <c r="C97" s="23"/>
      <c r="D97" s="24"/>
      <c r="E97" s="23"/>
      <c r="F97" s="25"/>
      <c r="G97" s="25"/>
      <c r="H97" s="25"/>
      <c r="I97" s="25"/>
      <c r="J97" s="25"/>
      <c r="K97" s="26"/>
      <c r="L97" s="26"/>
      <c r="M97" s="26"/>
      <c r="N97" s="26"/>
      <c r="O97" s="26"/>
    </row>
    <row r="98" spans="1:15" x14ac:dyDescent="0.25">
      <c r="A98" s="22"/>
      <c r="B98" s="23"/>
      <c r="C98" s="23"/>
      <c r="D98" s="24"/>
      <c r="E98" s="23"/>
      <c r="F98" s="25"/>
      <c r="G98" s="25"/>
      <c r="H98" s="25"/>
      <c r="I98" s="25"/>
      <c r="J98" s="25"/>
      <c r="K98" s="26"/>
      <c r="L98" s="26"/>
      <c r="M98" s="26"/>
      <c r="N98" s="26"/>
      <c r="O98" s="26"/>
    </row>
    <row r="99" spans="1:15" x14ac:dyDescent="0.25">
      <c r="A99" s="22"/>
      <c r="B99" s="23"/>
      <c r="C99" s="23"/>
      <c r="D99" s="24"/>
      <c r="E99" s="23"/>
      <c r="F99" s="25"/>
      <c r="G99" s="25"/>
      <c r="H99" s="25"/>
      <c r="I99" s="25"/>
      <c r="J99" s="25"/>
      <c r="K99" s="26"/>
      <c r="L99" s="26"/>
      <c r="M99" s="26"/>
      <c r="N99" s="26"/>
      <c r="O99" s="26"/>
    </row>
    <row r="100" spans="1:15" x14ac:dyDescent="0.25">
      <c r="A100" s="22"/>
      <c r="B100" s="23"/>
      <c r="C100" s="23"/>
      <c r="D100" s="24"/>
      <c r="E100" s="23"/>
      <c r="F100" s="25"/>
      <c r="G100" s="25"/>
      <c r="H100" s="25"/>
      <c r="I100" s="25"/>
      <c r="J100" s="25"/>
      <c r="K100" s="26"/>
      <c r="L100" s="26"/>
      <c r="M100" s="26"/>
      <c r="N100" s="26"/>
      <c r="O100" s="26"/>
    </row>
  </sheetData>
  <autoFilter ref="A1:O10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A2" sqref="A2:G27"/>
    </sheetView>
  </sheetViews>
  <sheetFormatPr defaultRowHeight="15" x14ac:dyDescent="0.25"/>
  <cols>
    <col min="1" max="1" width="43.42578125" bestFit="1" customWidth="1"/>
    <col min="2" max="2" width="15.140625" bestFit="1" customWidth="1"/>
    <col min="3" max="3" width="20.28515625" bestFit="1" customWidth="1"/>
    <col min="7" max="7" width="10" bestFit="1" customWidth="1"/>
  </cols>
  <sheetData>
    <row r="1" spans="1:7" x14ac:dyDescent="0.25">
      <c r="A1" s="37" t="s">
        <v>76</v>
      </c>
      <c r="B1" s="37" t="s">
        <v>77</v>
      </c>
      <c r="C1" s="37" t="s">
        <v>78</v>
      </c>
      <c r="D1" s="37" t="s">
        <v>79</v>
      </c>
      <c r="E1" s="37" t="s">
        <v>80</v>
      </c>
      <c r="F1" s="37" t="s">
        <v>81</v>
      </c>
      <c r="G1" s="37" t="s">
        <v>82</v>
      </c>
    </row>
    <row r="2" spans="1:7" x14ac:dyDescent="0.25">
      <c r="A2" s="56" t="s">
        <v>97</v>
      </c>
      <c r="B2" s="38">
        <v>41760</v>
      </c>
      <c r="C2" s="38">
        <v>41760</v>
      </c>
      <c r="D2" s="39" t="s">
        <v>83</v>
      </c>
      <c r="E2" s="40">
        <v>1.4800000000000001E-2</v>
      </c>
      <c r="F2">
        <v>2014</v>
      </c>
      <c r="G2" t="s">
        <v>37</v>
      </c>
    </row>
    <row r="3" spans="1:7" x14ac:dyDescent="0.25">
      <c r="A3" t="s">
        <v>97</v>
      </c>
      <c r="B3" s="38">
        <v>41760</v>
      </c>
      <c r="C3" s="38">
        <v>41760</v>
      </c>
      <c r="D3" s="39" t="s">
        <v>84</v>
      </c>
      <c r="E3" s="40">
        <v>9.1000000000000004E-3</v>
      </c>
      <c r="F3">
        <v>2014</v>
      </c>
      <c r="G3" t="s">
        <v>34</v>
      </c>
    </row>
    <row r="4" spans="1:7" x14ac:dyDescent="0.25">
      <c r="A4" t="s">
        <v>97</v>
      </c>
      <c r="B4" s="38">
        <v>41760</v>
      </c>
      <c r="C4" s="38">
        <v>41760</v>
      </c>
      <c r="D4" s="39" t="s">
        <v>85</v>
      </c>
      <c r="E4" s="40">
        <v>1.9287000000000001</v>
      </c>
      <c r="F4">
        <v>2014</v>
      </c>
      <c r="G4" t="s">
        <v>40</v>
      </c>
    </row>
    <row r="5" spans="1:7" x14ac:dyDescent="0.25">
      <c r="A5" t="s">
        <v>97</v>
      </c>
      <c r="B5" s="38">
        <v>41760</v>
      </c>
      <c r="C5" s="38">
        <v>41760</v>
      </c>
      <c r="D5" s="39" t="s">
        <v>103</v>
      </c>
      <c r="E5" s="40">
        <v>15.3576</v>
      </c>
      <c r="F5">
        <v>2014</v>
      </c>
      <c r="G5" t="s">
        <v>36</v>
      </c>
    </row>
    <row r="6" spans="1:7" x14ac:dyDescent="0.25">
      <c r="A6" t="s">
        <v>97</v>
      </c>
      <c r="B6" s="38">
        <v>41760</v>
      </c>
      <c r="C6" s="38">
        <v>41760</v>
      </c>
      <c r="D6" s="39" t="s">
        <v>91</v>
      </c>
      <c r="E6" s="40">
        <v>12.965299999999999</v>
      </c>
      <c r="F6">
        <v>2014</v>
      </c>
      <c r="G6" t="s">
        <v>92</v>
      </c>
    </row>
    <row r="7" spans="1:7" x14ac:dyDescent="0.25">
      <c r="A7" s="57" t="s">
        <v>97</v>
      </c>
      <c r="B7" s="41">
        <v>41395</v>
      </c>
      <c r="C7" s="41">
        <v>41395</v>
      </c>
      <c r="D7" s="42" t="s">
        <v>83</v>
      </c>
      <c r="E7" s="43">
        <v>1.46E-2</v>
      </c>
      <c r="F7">
        <v>2013</v>
      </c>
      <c r="G7" t="s">
        <v>37</v>
      </c>
    </row>
    <row r="8" spans="1:7" x14ac:dyDescent="0.25">
      <c r="A8" s="57" t="s">
        <v>97</v>
      </c>
      <c r="B8" s="41">
        <v>41395</v>
      </c>
      <c r="C8" s="41">
        <v>41395</v>
      </c>
      <c r="D8" s="42" t="s">
        <v>84</v>
      </c>
      <c r="E8" s="43">
        <v>8.9999999999999993E-3</v>
      </c>
      <c r="F8">
        <v>2013</v>
      </c>
      <c r="G8" t="s">
        <v>34</v>
      </c>
    </row>
    <row r="9" spans="1:7" x14ac:dyDescent="0.25">
      <c r="A9" s="57" t="s">
        <v>97</v>
      </c>
      <c r="B9" s="41">
        <v>41395</v>
      </c>
      <c r="C9" s="41">
        <v>41395</v>
      </c>
      <c r="D9" s="42" t="s">
        <v>85</v>
      </c>
      <c r="E9" s="43">
        <v>1.8993</v>
      </c>
      <c r="F9">
        <v>2013</v>
      </c>
      <c r="G9" t="s">
        <v>40</v>
      </c>
    </row>
    <row r="10" spans="1:7" x14ac:dyDescent="0.25">
      <c r="A10" s="57" t="s">
        <v>97</v>
      </c>
      <c r="B10" s="41">
        <v>41395</v>
      </c>
      <c r="C10" s="41">
        <v>41395</v>
      </c>
      <c r="D10" s="42" t="s">
        <v>103</v>
      </c>
      <c r="E10" s="43">
        <v>15.123200000000001</v>
      </c>
      <c r="F10">
        <v>2013</v>
      </c>
      <c r="G10" t="s">
        <v>36</v>
      </c>
    </row>
    <row r="11" spans="1:7" x14ac:dyDescent="0.25">
      <c r="A11" s="57" t="s">
        <v>97</v>
      </c>
      <c r="B11" s="41">
        <v>41395</v>
      </c>
      <c r="C11" s="41">
        <v>41395</v>
      </c>
      <c r="D11" s="42" t="s">
        <v>91</v>
      </c>
      <c r="E11" s="43">
        <v>12.7674</v>
      </c>
      <c r="F11">
        <v>2013</v>
      </c>
      <c r="G11" t="s">
        <v>92</v>
      </c>
    </row>
    <row r="12" spans="1:7" x14ac:dyDescent="0.25">
      <c r="A12" s="44" t="s">
        <v>97</v>
      </c>
      <c r="B12" s="45">
        <v>41091</v>
      </c>
      <c r="C12" s="45">
        <v>41153</v>
      </c>
      <c r="D12" s="44" t="s">
        <v>83</v>
      </c>
      <c r="E12" s="46">
        <v>1.4500000000000001E-2</v>
      </c>
      <c r="F12">
        <v>2012</v>
      </c>
      <c r="G12" t="s">
        <v>37</v>
      </c>
    </row>
    <row r="13" spans="1:7" x14ac:dyDescent="0.25">
      <c r="A13" s="44" t="s">
        <v>97</v>
      </c>
      <c r="B13" s="45">
        <v>41091</v>
      </c>
      <c r="C13" s="45">
        <v>41153</v>
      </c>
      <c r="D13" s="44" t="s">
        <v>84</v>
      </c>
      <c r="E13" s="46">
        <v>8.9999999999999993E-3</v>
      </c>
      <c r="F13">
        <v>2012</v>
      </c>
      <c r="G13" t="s">
        <v>34</v>
      </c>
    </row>
    <row r="14" spans="1:7" x14ac:dyDescent="0.25">
      <c r="A14" s="44" t="s">
        <v>97</v>
      </c>
      <c r="B14" s="45">
        <v>41091</v>
      </c>
      <c r="C14" s="45">
        <v>41153</v>
      </c>
      <c r="D14" s="44" t="s">
        <v>85</v>
      </c>
      <c r="E14" s="46">
        <v>1.8902000000000001</v>
      </c>
      <c r="F14">
        <v>2012</v>
      </c>
      <c r="G14" t="s">
        <v>40</v>
      </c>
    </row>
    <row r="15" spans="1:7" x14ac:dyDescent="0.25">
      <c r="A15" s="44" t="s">
        <v>97</v>
      </c>
      <c r="B15" s="45">
        <v>41091</v>
      </c>
      <c r="C15" s="45">
        <v>41153</v>
      </c>
      <c r="D15" s="44" t="s">
        <v>103</v>
      </c>
      <c r="E15" s="46">
        <v>15.051</v>
      </c>
      <c r="F15">
        <v>2012</v>
      </c>
      <c r="G15" t="s">
        <v>36</v>
      </c>
    </row>
    <row r="16" spans="1:7" x14ac:dyDescent="0.25">
      <c r="A16" s="44" t="s">
        <v>97</v>
      </c>
      <c r="B16" s="45">
        <v>41091</v>
      </c>
      <c r="C16" s="45">
        <v>41153</v>
      </c>
      <c r="D16" s="44" t="s">
        <v>91</v>
      </c>
      <c r="E16" s="46">
        <v>12.7064</v>
      </c>
      <c r="F16">
        <v>2012</v>
      </c>
      <c r="G16" t="s">
        <v>92</v>
      </c>
    </row>
    <row r="17" spans="1:7" x14ac:dyDescent="0.25">
      <c r="A17" t="s">
        <v>97</v>
      </c>
      <c r="B17" s="45">
        <v>40664</v>
      </c>
      <c r="C17" s="45">
        <v>40664</v>
      </c>
      <c r="D17" s="39" t="s">
        <v>83</v>
      </c>
      <c r="E17" s="58">
        <v>1.17E-2</v>
      </c>
      <c r="F17">
        <v>2011</v>
      </c>
      <c r="G17" t="s">
        <v>37</v>
      </c>
    </row>
    <row r="18" spans="1:7" x14ac:dyDescent="0.25">
      <c r="A18" s="57" t="s">
        <v>97</v>
      </c>
      <c r="B18" s="45">
        <v>40299</v>
      </c>
      <c r="C18" s="45">
        <v>40299</v>
      </c>
      <c r="D18" s="42" t="s">
        <v>83</v>
      </c>
      <c r="E18" s="59">
        <v>1.17E-2</v>
      </c>
      <c r="F18">
        <v>2010</v>
      </c>
      <c r="G18" t="s">
        <v>37</v>
      </c>
    </row>
    <row r="19" spans="1:7" x14ac:dyDescent="0.25">
      <c r="A19" t="s">
        <v>97</v>
      </c>
      <c r="B19" s="45">
        <v>40664</v>
      </c>
      <c r="C19" s="45">
        <v>40664</v>
      </c>
      <c r="D19" s="39" t="s">
        <v>84</v>
      </c>
      <c r="E19" s="58">
        <v>7.4000000000000003E-3</v>
      </c>
      <c r="F19">
        <v>2011</v>
      </c>
      <c r="G19" t="s">
        <v>34</v>
      </c>
    </row>
    <row r="20" spans="1:7" x14ac:dyDescent="0.25">
      <c r="A20" t="s">
        <v>97</v>
      </c>
      <c r="B20" s="45">
        <v>40664</v>
      </c>
      <c r="C20" s="45">
        <v>40664</v>
      </c>
      <c r="D20" s="39" t="s">
        <v>85</v>
      </c>
      <c r="E20" s="58">
        <v>1.2473000000000001</v>
      </c>
      <c r="F20">
        <v>2011</v>
      </c>
      <c r="G20" t="s">
        <v>40</v>
      </c>
    </row>
    <row r="21" spans="1:7" x14ac:dyDescent="0.25">
      <c r="A21" s="60" t="s">
        <v>97</v>
      </c>
      <c r="B21" s="45">
        <v>40299</v>
      </c>
      <c r="C21" s="45">
        <v>40299</v>
      </c>
      <c r="D21" s="47" t="s">
        <v>84</v>
      </c>
      <c r="E21" s="61">
        <v>7.4000000000000003E-3</v>
      </c>
      <c r="F21">
        <v>2010</v>
      </c>
      <c r="G21" t="s">
        <v>34</v>
      </c>
    </row>
    <row r="22" spans="1:7" x14ac:dyDescent="0.25">
      <c r="A22" s="60" t="s">
        <v>97</v>
      </c>
      <c r="B22" s="45">
        <v>40299</v>
      </c>
      <c r="C22" s="45">
        <v>40299</v>
      </c>
      <c r="D22" s="47" t="s">
        <v>85</v>
      </c>
      <c r="E22" s="61">
        <v>1.2451000000000001</v>
      </c>
      <c r="F22">
        <v>2010</v>
      </c>
      <c r="G22" t="s">
        <v>40</v>
      </c>
    </row>
    <row r="23" spans="1:7" ht="30" x14ac:dyDescent="0.25">
      <c r="A23" t="s">
        <v>97</v>
      </c>
      <c r="B23" s="45">
        <v>42125</v>
      </c>
      <c r="C23" s="45">
        <v>42125</v>
      </c>
      <c r="D23" s="62" t="s">
        <v>83</v>
      </c>
      <c r="E23" s="63">
        <v>1.4999999999999999E-2</v>
      </c>
      <c r="F23">
        <v>2015</v>
      </c>
      <c r="G23" t="s">
        <v>37</v>
      </c>
    </row>
    <row r="24" spans="1:7" ht="75" x14ac:dyDescent="0.25">
      <c r="A24" s="56" t="s">
        <v>97</v>
      </c>
      <c r="B24" s="45">
        <v>42125</v>
      </c>
      <c r="C24" s="45">
        <v>42125</v>
      </c>
      <c r="D24" s="62" t="s">
        <v>84</v>
      </c>
      <c r="E24" s="63">
        <v>9.1999999999999998E-3</v>
      </c>
      <c r="F24">
        <v>2015</v>
      </c>
      <c r="G24" t="s">
        <v>34</v>
      </c>
    </row>
    <row r="25" spans="1:7" ht="60" x14ac:dyDescent="0.25">
      <c r="A25" s="56" t="s">
        <v>97</v>
      </c>
      <c r="B25" s="45">
        <v>42125</v>
      </c>
      <c r="C25" s="45">
        <v>42125</v>
      </c>
      <c r="D25" s="62" t="s">
        <v>85</v>
      </c>
      <c r="E25" s="63">
        <v>1.9538</v>
      </c>
      <c r="F25">
        <v>2015</v>
      </c>
      <c r="G25" t="s">
        <v>40</v>
      </c>
    </row>
    <row r="26" spans="1:7" x14ac:dyDescent="0.25">
      <c r="A26" t="s">
        <v>97</v>
      </c>
      <c r="B26" s="45">
        <v>42125</v>
      </c>
      <c r="C26" s="45">
        <v>42125</v>
      </c>
      <c r="D26" s="39" t="s">
        <v>91</v>
      </c>
      <c r="E26">
        <v>13.133800000000001</v>
      </c>
      <c r="F26">
        <v>2015</v>
      </c>
      <c r="G26" t="s">
        <v>92</v>
      </c>
    </row>
    <row r="27" spans="1:7" x14ac:dyDescent="0.25">
      <c r="A27" t="s">
        <v>97</v>
      </c>
      <c r="B27">
        <v>41760</v>
      </c>
      <c r="C27">
        <v>41760</v>
      </c>
      <c r="D27" s="39" t="s">
        <v>91</v>
      </c>
      <c r="E27">
        <v>12.965299999999999</v>
      </c>
      <c r="F27">
        <v>2014</v>
      </c>
      <c r="G27" t="s">
        <v>92</v>
      </c>
    </row>
    <row r="28" spans="1:7" x14ac:dyDescent="0.25">
      <c r="A28" s="44"/>
      <c r="B28" s="45"/>
      <c r="C28" s="45"/>
      <c r="D28" s="44"/>
      <c r="E28" s="46"/>
      <c r="F28" s="39"/>
      <c r="G28" s="39"/>
    </row>
    <row r="29" spans="1:7" x14ac:dyDescent="0.25">
      <c r="A29" s="42"/>
      <c r="B29" s="41"/>
      <c r="C29" s="41"/>
      <c r="D29" s="42"/>
      <c r="E29" s="43"/>
      <c r="F29" s="39"/>
      <c r="G29" s="39"/>
    </row>
    <row r="30" spans="1:7" x14ac:dyDescent="0.25">
      <c r="A30" s="42"/>
      <c r="B30" s="41"/>
      <c r="C30" s="41"/>
      <c r="D30" s="42"/>
      <c r="E30" s="43"/>
      <c r="F30" s="39"/>
      <c r="G30" s="39"/>
    </row>
    <row r="31" spans="1:7" x14ac:dyDescent="0.25">
      <c r="A31" s="42"/>
      <c r="B31" s="41"/>
      <c r="C31" s="41"/>
      <c r="D31" s="42"/>
      <c r="E31" s="43"/>
      <c r="F31" s="39"/>
      <c r="G31" s="39"/>
    </row>
    <row r="32" spans="1:7" x14ac:dyDescent="0.25">
      <c r="A32" s="42"/>
      <c r="B32" s="41"/>
      <c r="C32" s="41"/>
      <c r="D32" s="42"/>
      <c r="E32" s="43"/>
      <c r="F32" s="39"/>
      <c r="G32" s="39"/>
    </row>
    <row r="33" spans="1:7" x14ac:dyDescent="0.25">
      <c r="A33" s="42"/>
      <c r="B33" s="41"/>
      <c r="C33" s="41"/>
      <c r="D33" s="42"/>
      <c r="E33" s="43"/>
      <c r="F33" s="39"/>
      <c r="G33" s="39"/>
    </row>
    <row r="34" spans="1:7" x14ac:dyDescent="0.25">
      <c r="A34" s="42"/>
      <c r="B34" s="41"/>
      <c r="C34" s="41"/>
      <c r="D34" s="42"/>
      <c r="E34" s="43"/>
      <c r="F34" s="39"/>
      <c r="G34" s="39"/>
    </row>
    <row r="35" spans="1:7" x14ac:dyDescent="0.25">
      <c r="A35" s="42"/>
      <c r="B35" s="41"/>
      <c r="C35" s="41"/>
      <c r="D35" s="42"/>
      <c r="E35" s="43"/>
      <c r="F35" s="39"/>
      <c r="G35" s="39"/>
    </row>
    <row r="36" spans="1:7" x14ac:dyDescent="0.25">
      <c r="A36" s="42"/>
      <c r="B36" s="41"/>
      <c r="C36" s="41"/>
      <c r="D36" s="42"/>
      <c r="E36" s="43"/>
      <c r="F36" s="39"/>
      <c r="G36" s="39"/>
    </row>
    <row r="37" spans="1:7" x14ac:dyDescent="0.25">
      <c r="A37" s="42"/>
      <c r="B37" s="41"/>
      <c r="C37" s="41"/>
      <c r="D37" s="42"/>
      <c r="E37" s="43"/>
      <c r="F37" s="39"/>
      <c r="G37" s="39"/>
    </row>
    <row r="38" spans="1:7" x14ac:dyDescent="0.25">
      <c r="A38" s="39"/>
      <c r="B38" s="38"/>
      <c r="C38" s="38"/>
      <c r="D38" s="39"/>
      <c r="E38" s="40"/>
      <c r="F38" s="39"/>
      <c r="G38" s="39"/>
    </row>
    <row r="39" spans="1:7" x14ac:dyDescent="0.25">
      <c r="A39" s="39"/>
      <c r="B39" s="38"/>
      <c r="C39" s="38"/>
      <c r="D39" s="39"/>
      <c r="E39" s="40"/>
      <c r="F39" s="39"/>
      <c r="G39" s="39"/>
    </row>
    <row r="40" spans="1:7" x14ac:dyDescent="0.25">
      <c r="A40" s="39"/>
      <c r="B40" s="38"/>
      <c r="C40" s="38"/>
      <c r="D40" s="39"/>
      <c r="E40" s="40"/>
      <c r="F40" s="39"/>
      <c r="G40" s="39"/>
    </row>
    <row r="41" spans="1:7" x14ac:dyDescent="0.25">
      <c r="A41" s="48"/>
      <c r="B41" s="38"/>
      <c r="C41" s="38"/>
      <c r="D41" s="39"/>
      <c r="E41" s="40"/>
      <c r="F41" s="39"/>
      <c r="G41" s="39"/>
    </row>
    <row r="42" spans="1:7" x14ac:dyDescent="0.25">
      <c r="A42" s="48"/>
      <c r="B42" s="38"/>
      <c r="C42" s="38"/>
      <c r="D42" s="39"/>
      <c r="E42" s="40"/>
      <c r="F42" s="39"/>
      <c r="G42" s="39"/>
    </row>
    <row r="43" spans="1:7" x14ac:dyDescent="0.25">
      <c r="A43" s="48"/>
      <c r="B43" s="38"/>
      <c r="C43" s="38"/>
      <c r="D43" s="39"/>
      <c r="E43" s="40"/>
      <c r="F43" s="39"/>
      <c r="G43" s="39"/>
    </row>
    <row r="44" spans="1:7" x14ac:dyDescent="0.25">
      <c r="A44" s="39"/>
      <c r="B44" s="38"/>
      <c r="C44" s="38"/>
      <c r="D44" s="39"/>
      <c r="E44" s="40"/>
      <c r="F44" s="39"/>
      <c r="G44" s="39"/>
    </row>
    <row r="45" spans="1:7" x14ac:dyDescent="0.25">
      <c r="A45" s="39"/>
      <c r="B45" s="38"/>
      <c r="C45" s="38"/>
      <c r="D45" s="39"/>
      <c r="E45" s="40"/>
      <c r="F45" s="39"/>
      <c r="G45" s="39"/>
    </row>
    <row r="46" spans="1:7" x14ac:dyDescent="0.25">
      <c r="A46" s="39"/>
      <c r="B46" s="38"/>
      <c r="C46" s="38"/>
      <c r="D46" s="39"/>
      <c r="E46" s="40"/>
      <c r="F46" s="39"/>
      <c r="G46" s="39"/>
    </row>
    <row r="47" spans="1:7" x14ac:dyDescent="0.25">
      <c r="A47" s="48"/>
      <c r="B47" s="45"/>
      <c r="C47" s="45"/>
      <c r="D47" s="48"/>
      <c r="E47" s="49"/>
      <c r="F47" s="39"/>
      <c r="G47" s="39"/>
    </row>
    <row r="48" spans="1:7" x14ac:dyDescent="0.25">
      <c r="A48" s="48"/>
      <c r="B48" s="45"/>
      <c r="C48" s="45"/>
      <c r="D48" s="48"/>
      <c r="E48" s="49"/>
      <c r="F48" s="39"/>
      <c r="G48" s="39"/>
    </row>
    <row r="49" spans="1:7" x14ac:dyDescent="0.25">
      <c r="A49" s="48"/>
      <c r="B49" s="45"/>
      <c r="C49" s="45"/>
      <c r="D49" s="48"/>
      <c r="E49" s="49"/>
      <c r="F49" s="39"/>
      <c r="G49" s="39"/>
    </row>
    <row r="50" spans="1:7" x14ac:dyDescent="0.25">
      <c r="A50" s="39"/>
      <c r="B50" s="45"/>
      <c r="C50" s="45"/>
      <c r="D50" s="48"/>
      <c r="E50" s="49"/>
      <c r="F50" s="39"/>
      <c r="G50" s="39"/>
    </row>
    <row r="51" spans="1:7" x14ac:dyDescent="0.25">
      <c r="A51" s="39"/>
      <c r="B51" s="45"/>
      <c r="C51" s="45"/>
      <c r="D51" s="48"/>
      <c r="E51" s="49"/>
      <c r="F51" s="39"/>
      <c r="G51" s="39"/>
    </row>
    <row r="52" spans="1:7" x14ac:dyDescent="0.25">
      <c r="A52" s="39"/>
      <c r="B52" s="45"/>
      <c r="C52" s="45"/>
      <c r="D52" s="48"/>
      <c r="E52" s="49"/>
      <c r="F52" s="39"/>
      <c r="G52" s="39"/>
    </row>
    <row r="53" spans="1:7" x14ac:dyDescent="0.25">
      <c r="A53" s="48"/>
      <c r="B53" s="45"/>
      <c r="C53" s="45"/>
      <c r="D53" s="48"/>
      <c r="E53" s="49"/>
      <c r="F53" s="39"/>
      <c r="G53" s="39"/>
    </row>
    <row r="54" spans="1:7" x14ac:dyDescent="0.25">
      <c r="A54" s="48"/>
      <c r="B54" s="45"/>
      <c r="C54" s="45"/>
      <c r="D54" s="48"/>
      <c r="E54" s="49"/>
      <c r="F54" s="39"/>
      <c r="G54" s="39"/>
    </row>
    <row r="55" spans="1:7" x14ac:dyDescent="0.25">
      <c r="A55" s="48"/>
      <c r="B55" s="45"/>
      <c r="C55" s="45"/>
      <c r="D55" s="48"/>
      <c r="E55" s="49"/>
      <c r="F55" s="39"/>
      <c r="G55" s="39"/>
    </row>
  </sheetData>
  <sortState ref="A2:G55">
    <sortCondition ref="F2:F55"/>
    <sortCondition ref="G2:G55"/>
    <sortCondition ref="A2:A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2012 old</vt:lpstr>
      <vt:lpstr>2013 old</vt:lpstr>
      <vt:lpstr>2012</vt:lpstr>
      <vt:lpstr>2013</vt:lpstr>
      <vt:lpstr>2014</vt:lpstr>
      <vt:lpstr>Summary</vt:lpstr>
      <vt:lpstr>Carry Rates</vt:lpstr>
      <vt:lpstr>Persistance</vt:lpstr>
      <vt:lpstr>Rates</vt:lpstr>
      <vt:lpstr>Retrofit Split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Soules</dc:creator>
  <cp:lastModifiedBy>Jarrett Urech</cp:lastModifiedBy>
  <dcterms:created xsi:type="dcterms:W3CDTF">2016-09-21T16:44:56Z</dcterms:created>
  <dcterms:modified xsi:type="dcterms:W3CDTF">2017-03-07T20:44:35Z</dcterms:modified>
</cp:coreProperties>
</file>